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l-file3.mil.intra\Documents$\karin.muru\Documents\KL võistlused\KV MV 2022\"/>
    </mc:Choice>
  </mc:AlternateContent>
  <bookViews>
    <workbookView xWindow="0" yWindow="0" windowWidth="28800" windowHeight="12990" firstSheet="1" activeTab="8"/>
  </bookViews>
  <sheets>
    <sheet name="Overall" sheetId="1" state="hidden" r:id="rId1"/>
    <sheet name="Võistkondlik" sheetId="2" r:id="rId2"/>
    <sheet name="9mm püstol üld" sheetId="3" r:id="rId3"/>
    <sheet name="9mm püstol M" sheetId="4" r:id="rId4"/>
    <sheet name="9mm püstol N" sheetId="5" r:id="rId5"/>
    <sheet name="100m üld" sheetId="6" r:id="rId6"/>
    <sheet name="100m M" sheetId="7" r:id="rId7"/>
    <sheet name="100m N" sheetId="8" r:id="rId8"/>
    <sheet name="300m üld" sheetId="9" r:id="rId9"/>
    <sheet name="300m M" sheetId="10" r:id="rId10"/>
    <sheet name="300m N" sheetId="11" r:id="rId1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9" i="4" l="1"/>
  <c r="K29" i="4"/>
  <c r="K11" i="5"/>
  <c r="G33" i="5"/>
  <c r="F133" i="6"/>
  <c r="F121" i="9"/>
  <c r="G32" i="11"/>
  <c r="K30" i="10"/>
  <c r="G92" i="10"/>
  <c r="K11" i="8"/>
  <c r="G34" i="8"/>
  <c r="K33" i="7"/>
  <c r="G102" i="7"/>
  <c r="G103" i="7" s="1"/>
  <c r="H21" i="2" l="1"/>
  <c r="H20" i="2"/>
  <c r="I20" i="2" s="1"/>
  <c r="H19" i="2"/>
  <c r="H18" i="2"/>
  <c r="H17" i="2"/>
  <c r="I17" i="2" s="1"/>
  <c r="H16" i="2"/>
  <c r="H15" i="2"/>
  <c r="H14" i="2"/>
  <c r="I14" i="2" s="1"/>
  <c r="H13" i="2"/>
  <c r="I13" i="2" s="1"/>
  <c r="H12" i="2"/>
  <c r="H11" i="2"/>
  <c r="H10" i="2"/>
  <c r="I10" i="2" s="1"/>
  <c r="H9" i="2"/>
  <c r="I9" i="2" s="1"/>
  <c r="H8" i="2"/>
  <c r="H7" i="2"/>
  <c r="H6" i="2"/>
  <c r="I6" i="2" s="1"/>
  <c r="H5" i="2"/>
  <c r="I5" i="2" s="1"/>
  <c r="H4" i="2"/>
  <c r="I4" i="2" s="1"/>
  <c r="D283" i="1"/>
  <c r="D284" i="1"/>
  <c r="F282" i="1"/>
  <c r="D279" i="1"/>
  <c r="A276" i="1"/>
  <c r="H272" i="1"/>
  <c r="G269" i="1"/>
  <c r="F266" i="1"/>
  <c r="D263" i="1"/>
  <c r="A260" i="1"/>
  <c r="H256" i="1"/>
  <c r="G253" i="1"/>
  <c r="H249" i="1"/>
  <c r="H245" i="1"/>
  <c r="H241" i="1"/>
  <c r="H237" i="1"/>
  <c r="H233" i="1"/>
  <c r="H229" i="1"/>
  <c r="H225" i="1"/>
  <c r="H221" i="1"/>
  <c r="H217" i="1"/>
  <c r="H213" i="1"/>
  <c r="F210" i="1"/>
  <c r="F208" i="1"/>
  <c r="F206" i="1"/>
  <c r="F204" i="1"/>
  <c r="F202" i="1"/>
  <c r="F200" i="1"/>
  <c r="F198" i="1"/>
  <c r="F196" i="1"/>
  <c r="E194" i="1"/>
  <c r="E192" i="1"/>
  <c r="E190" i="1"/>
  <c r="G284" i="1"/>
  <c r="F281" i="1"/>
  <c r="D278" i="1"/>
  <c r="A275" i="1"/>
  <c r="H271" i="1"/>
  <c r="G268" i="1"/>
  <c r="F265" i="1"/>
  <c r="D262" i="1"/>
  <c r="A259" i="1"/>
  <c r="H255" i="1"/>
  <c r="G252" i="1"/>
  <c r="G248" i="1"/>
  <c r="G244" i="1"/>
  <c r="G240" i="1"/>
  <c r="G236" i="1"/>
  <c r="G232" i="1"/>
  <c r="G228" i="1"/>
  <c r="G224" i="1"/>
  <c r="G220" i="1"/>
  <c r="G216" i="1"/>
  <c r="G212" i="1"/>
  <c r="A210" i="1"/>
  <c r="A208" i="1"/>
  <c r="A206" i="1"/>
  <c r="A204" i="1"/>
  <c r="A202" i="1"/>
  <c r="A200" i="1"/>
  <c r="A198" i="1"/>
  <c r="H195" i="1"/>
  <c r="H193" i="1"/>
  <c r="H191" i="1"/>
  <c r="H189" i="1"/>
  <c r="G283" i="1"/>
  <c r="D277" i="1"/>
  <c r="H270" i="1"/>
  <c r="F264" i="1"/>
  <c r="A258" i="1"/>
  <c r="F251" i="1"/>
  <c r="F243" i="1"/>
  <c r="F235" i="1"/>
  <c r="F227" i="1"/>
  <c r="F219" i="1"/>
  <c r="F211" i="1"/>
  <c r="D207" i="1"/>
  <c r="D203" i="1"/>
  <c r="D199" i="1"/>
  <c r="C195" i="1"/>
  <c r="C191" i="1"/>
  <c r="A188" i="1"/>
  <c r="A186" i="1"/>
  <c r="A184" i="1"/>
  <c r="A182" i="1"/>
  <c r="A180" i="1"/>
  <c r="A178" i="1"/>
  <c r="A176" i="1"/>
  <c r="A174" i="1"/>
  <c r="A172" i="1"/>
  <c r="A170" i="1"/>
  <c r="A168" i="1"/>
  <c r="A166" i="1"/>
  <c r="A164" i="1"/>
  <c r="A162" i="1"/>
  <c r="A160" i="1"/>
  <c r="A158" i="1"/>
  <c r="H281" i="1"/>
  <c r="F275" i="1"/>
  <c r="A269" i="1"/>
  <c r="G262" i="1"/>
  <c r="D256" i="1"/>
  <c r="A249" i="1"/>
  <c r="A241" i="1"/>
  <c r="A233" i="1"/>
  <c r="A225" i="1"/>
  <c r="A217" i="1"/>
  <c r="C210" i="1"/>
  <c r="C206" i="1"/>
  <c r="C202" i="1"/>
  <c r="C198" i="1"/>
  <c r="B194" i="1"/>
  <c r="B190" i="1"/>
  <c r="D187" i="1"/>
  <c r="D185" i="1"/>
  <c r="D183" i="1"/>
  <c r="D181" i="1"/>
  <c r="D179" i="1"/>
  <c r="D177" i="1"/>
  <c r="D175" i="1"/>
  <c r="D173" i="1"/>
  <c r="D171" i="1"/>
  <c r="D169" i="1"/>
  <c r="D167" i="1"/>
  <c r="D165" i="1"/>
  <c r="D163" i="1"/>
  <c r="D161" i="1"/>
  <c r="D159" i="1"/>
  <c r="H284" i="1"/>
  <c r="A284" i="1"/>
  <c r="H280" i="1"/>
  <c r="G277" i="1"/>
  <c r="F274" i="1"/>
  <c r="D271" i="1"/>
  <c r="A268" i="1"/>
  <c r="H264" i="1"/>
  <c r="G261" i="1"/>
  <c r="F258" i="1"/>
  <c r="D255" i="1"/>
  <c r="H251" i="1"/>
  <c r="H247" i="1"/>
  <c r="H243" i="1"/>
  <c r="H239" i="1"/>
  <c r="H235" i="1"/>
  <c r="H231" i="1"/>
  <c r="H227" i="1"/>
  <c r="H223" i="1"/>
  <c r="H219" i="1"/>
  <c r="H215" i="1"/>
  <c r="H211" i="1"/>
  <c r="F209" i="1"/>
  <c r="F207" i="1"/>
  <c r="F205" i="1"/>
  <c r="F203" i="1"/>
  <c r="F201" i="1"/>
  <c r="F199" i="1"/>
  <c r="F197" i="1"/>
  <c r="E195" i="1"/>
  <c r="E193" i="1"/>
  <c r="E191" i="1"/>
  <c r="E189" i="1"/>
  <c r="A283" i="1"/>
  <c r="H279" i="1"/>
  <c r="G276" i="1"/>
  <c r="F273" i="1"/>
  <c r="D270" i="1"/>
  <c r="A267" i="1"/>
  <c r="H263" i="1"/>
  <c r="G260" i="1"/>
  <c r="F257" i="1"/>
  <c r="D254" i="1"/>
  <c r="G250" i="1"/>
  <c r="G246" i="1"/>
  <c r="G242" i="1"/>
  <c r="G238" i="1"/>
  <c r="G234" i="1"/>
  <c r="G230" i="1"/>
  <c r="G226" i="1"/>
  <c r="G222" i="1"/>
  <c r="G218" i="1"/>
  <c r="G214" i="1"/>
  <c r="A211" i="1"/>
  <c r="A209" i="1"/>
  <c r="A207" i="1"/>
  <c r="A205" i="1"/>
  <c r="A203" i="1"/>
  <c r="A201" i="1"/>
  <c r="A199" i="1"/>
  <c r="A197" i="1"/>
  <c r="H194" i="1"/>
  <c r="H192" i="1"/>
  <c r="H190" i="1"/>
  <c r="H188" i="1"/>
  <c r="F280" i="1"/>
  <c r="A274" i="1"/>
  <c r="G267" i="1"/>
  <c r="D261" i="1"/>
  <c r="H254" i="1"/>
  <c r="F247" i="1"/>
  <c r="F239" i="1"/>
  <c r="F231" i="1"/>
  <c r="F223" i="1"/>
  <c r="F215" i="1"/>
  <c r="D209" i="1"/>
  <c r="D205" i="1"/>
  <c r="D201" i="1"/>
  <c r="D197" i="1"/>
  <c r="C193" i="1"/>
  <c r="C189" i="1"/>
  <c r="A187" i="1"/>
  <c r="A185" i="1"/>
  <c r="A183" i="1"/>
  <c r="A181" i="1"/>
  <c r="A179" i="1"/>
  <c r="A177" i="1"/>
  <c r="A175" i="1"/>
  <c r="A173" i="1"/>
  <c r="A171" i="1"/>
  <c r="A169" i="1"/>
  <c r="A167" i="1"/>
  <c r="A165" i="1"/>
  <c r="A163" i="1"/>
  <c r="A161" i="1"/>
  <c r="A159" i="1"/>
  <c r="A157" i="1"/>
  <c r="G278" i="1"/>
  <c r="D272" i="1"/>
  <c r="H265" i="1"/>
  <c r="F259" i="1"/>
  <c r="A253" i="1"/>
  <c r="A245" i="1"/>
  <c r="A237" i="1"/>
  <c r="A229" i="1"/>
  <c r="A221" i="1"/>
  <c r="A213" i="1"/>
  <c r="C208" i="1"/>
  <c r="C204" i="1"/>
  <c r="C200" i="1"/>
  <c r="B196" i="1"/>
  <c r="B192" i="1"/>
  <c r="D188" i="1"/>
  <c r="D186" i="1"/>
  <c r="D184" i="1"/>
  <c r="D182" i="1"/>
  <c r="D180" i="1"/>
  <c r="D178" i="1"/>
  <c r="D176" i="1"/>
  <c r="D174" i="1"/>
  <c r="D172" i="1"/>
  <c r="D170" i="1"/>
  <c r="D168" i="1"/>
  <c r="G281" i="1"/>
  <c r="D275" i="1"/>
  <c r="H268" i="1"/>
  <c r="F262" i="1"/>
  <c r="A256" i="1"/>
  <c r="H248" i="1"/>
  <c r="H240" i="1"/>
  <c r="H232" i="1"/>
  <c r="H224" i="1"/>
  <c r="H216" i="1"/>
  <c r="B210" i="1"/>
  <c r="B206" i="1"/>
  <c r="B202" i="1"/>
  <c r="B198" i="1"/>
  <c r="A194" i="1"/>
  <c r="A190" i="1"/>
  <c r="G280" i="1"/>
  <c r="D274" i="1"/>
  <c r="H267" i="1"/>
  <c r="F261" i="1"/>
  <c r="A255" i="1"/>
  <c r="G247" i="1"/>
  <c r="G239" i="1"/>
  <c r="G231" i="1"/>
  <c r="G223" i="1"/>
  <c r="G215" i="1"/>
  <c r="E209" i="1"/>
  <c r="E205" i="1"/>
  <c r="E201" i="1"/>
  <c r="E197" i="1"/>
  <c r="D193" i="1"/>
  <c r="D189" i="1"/>
  <c r="G275" i="1"/>
  <c r="H262" i="1"/>
  <c r="F249" i="1"/>
  <c r="F233" i="1"/>
  <c r="F217" i="1"/>
  <c r="D206" i="1"/>
  <c r="D198" i="1"/>
  <c r="C190" i="1"/>
  <c r="E185" i="1"/>
  <c r="E181" i="1"/>
  <c r="E177" i="1"/>
  <c r="E173" i="1"/>
  <c r="E169" i="1"/>
  <c r="E165" i="1"/>
  <c r="E161" i="1"/>
  <c r="E157" i="1"/>
  <c r="H273" i="1"/>
  <c r="A261" i="1"/>
  <c r="A247" i="1"/>
  <c r="A231" i="1"/>
  <c r="A215" i="1"/>
  <c r="C205" i="1"/>
  <c r="C197" i="1"/>
  <c r="B189" i="1"/>
  <c r="H184" i="1"/>
  <c r="H180" i="1"/>
  <c r="H176" i="1"/>
  <c r="H172" i="1"/>
  <c r="H168" i="1"/>
  <c r="H165" i="1"/>
  <c r="H162" i="1"/>
  <c r="D160" i="1"/>
  <c r="H157" i="1"/>
  <c r="G279" i="1"/>
  <c r="H266" i="1"/>
  <c r="A254" i="1"/>
  <c r="F238" i="1"/>
  <c r="F222" i="1"/>
  <c r="H208" i="1"/>
  <c r="H200" i="1"/>
  <c r="G192" i="1"/>
  <c r="G186" i="1"/>
  <c r="G182" i="1"/>
  <c r="G178" i="1"/>
  <c r="G174" i="1"/>
  <c r="G170" i="1"/>
  <c r="G166" i="1"/>
  <c r="G162" i="1"/>
  <c r="G158" i="1"/>
  <c r="G155" i="1"/>
  <c r="F153" i="1"/>
  <c r="F151" i="1"/>
  <c r="F149" i="1"/>
  <c r="F147" i="1"/>
  <c r="F145" i="1"/>
  <c r="F143" i="1"/>
  <c r="F141" i="1"/>
  <c r="F139" i="1"/>
  <c r="F137" i="1"/>
  <c r="F135" i="1"/>
  <c r="F133" i="1"/>
  <c r="F131" i="1"/>
  <c r="F129" i="1"/>
  <c r="F127" i="1"/>
  <c r="F125" i="1"/>
  <c r="F279" i="1"/>
  <c r="G266" i="1"/>
  <c r="H253" i="1"/>
  <c r="A238" i="1"/>
  <c r="A222" i="1"/>
  <c r="G208" i="1"/>
  <c r="G200" i="1"/>
  <c r="F192" i="1"/>
  <c r="F186" i="1"/>
  <c r="F182" i="1"/>
  <c r="F178" i="1"/>
  <c r="F174" i="1"/>
  <c r="F170" i="1"/>
  <c r="F166" i="1"/>
  <c r="F162" i="1"/>
  <c r="F158" i="1"/>
  <c r="F155" i="1"/>
  <c r="E153" i="1"/>
  <c r="E151" i="1"/>
  <c r="E149" i="1"/>
  <c r="E147" i="1"/>
  <c r="E145" i="1"/>
  <c r="E143" i="1"/>
  <c r="E141" i="1"/>
  <c r="E139" i="1"/>
  <c r="E137" i="1"/>
  <c r="E135" i="1"/>
  <c r="E133" i="1"/>
  <c r="E131" i="1"/>
  <c r="E129" i="1"/>
  <c r="A280" i="1"/>
  <c r="G273" i="1"/>
  <c r="D267" i="1"/>
  <c r="H260" i="1"/>
  <c r="F254" i="1"/>
  <c r="H246" i="1"/>
  <c r="H238" i="1"/>
  <c r="H230" i="1"/>
  <c r="H222" i="1"/>
  <c r="H214" i="1"/>
  <c r="B209" i="1"/>
  <c r="B205" i="1"/>
  <c r="B201" i="1"/>
  <c r="B197" i="1"/>
  <c r="A193" i="1"/>
  <c r="A189" i="1"/>
  <c r="A279" i="1"/>
  <c r="G272" i="1"/>
  <c r="D266" i="1"/>
  <c r="H259" i="1"/>
  <c r="F253" i="1"/>
  <c r="G245" i="1"/>
  <c r="G237" i="1"/>
  <c r="G229" i="1"/>
  <c r="G221" i="1"/>
  <c r="G213" i="1"/>
  <c r="E208" i="1"/>
  <c r="E204" i="1"/>
  <c r="E200" i="1"/>
  <c r="D196" i="1"/>
  <c r="D192" i="1"/>
  <c r="F284" i="1"/>
  <c r="F272" i="1"/>
  <c r="G259" i="1"/>
  <c r="F245" i="1"/>
  <c r="F229" i="1"/>
  <c r="F213" i="1"/>
  <c r="D204" i="1"/>
  <c r="C196" i="1"/>
  <c r="E188" i="1"/>
  <c r="E184" i="1"/>
  <c r="E180" i="1"/>
  <c r="E176" i="1"/>
  <c r="E172" i="1"/>
  <c r="E168" i="1"/>
  <c r="E164" i="1"/>
  <c r="E160" i="1"/>
  <c r="F283" i="1"/>
  <c r="G270" i="1"/>
  <c r="H257" i="1"/>
  <c r="A243" i="1"/>
  <c r="A227" i="1"/>
  <c r="C211" i="1"/>
  <c r="C203" i="1"/>
  <c r="B195" i="1"/>
  <c r="H187" i="1"/>
  <c r="H183" i="1"/>
  <c r="H179" i="1"/>
  <c r="H175" i="1"/>
  <c r="H171" i="1"/>
  <c r="H167" i="1"/>
  <c r="H164" i="1"/>
  <c r="D162" i="1"/>
  <c r="H159" i="1"/>
  <c r="D157" i="1"/>
  <c r="F276" i="1"/>
  <c r="G263" i="1"/>
  <c r="F250" i="1"/>
  <c r="F234" i="1"/>
  <c r="F218" i="1"/>
  <c r="H206" i="1"/>
  <c r="H198" i="1"/>
  <c r="G190" i="1"/>
  <c r="G185" i="1"/>
  <c r="G181" i="1"/>
  <c r="G177" i="1"/>
  <c r="G173" i="1"/>
  <c r="G169" i="1"/>
  <c r="G165" i="1"/>
  <c r="G161" i="1"/>
  <c r="G157" i="1"/>
  <c r="C155" i="1"/>
  <c r="B153" i="1"/>
  <c r="B151" i="1"/>
  <c r="B149" i="1"/>
  <c r="B147" i="1"/>
  <c r="B145" i="1"/>
  <c r="B143" i="1"/>
  <c r="B141" i="1"/>
  <c r="B139" i="1"/>
  <c r="B137" i="1"/>
  <c r="B135" i="1"/>
  <c r="B133" i="1"/>
  <c r="B131" i="1"/>
  <c r="B129" i="1"/>
  <c r="B127" i="1"/>
  <c r="B125" i="1"/>
  <c r="D276" i="1"/>
  <c r="F263" i="1"/>
  <c r="A250" i="1"/>
  <c r="A234" i="1"/>
  <c r="A218" i="1"/>
  <c r="G206" i="1"/>
  <c r="G198" i="1"/>
  <c r="F190" i="1"/>
  <c r="F185" i="1"/>
  <c r="F181" i="1"/>
  <c r="F177" i="1"/>
  <c r="F173" i="1"/>
  <c r="F169" i="1"/>
  <c r="F165" i="1"/>
  <c r="F161" i="1"/>
  <c r="F157" i="1"/>
  <c r="B155" i="1"/>
  <c r="A153" i="1"/>
  <c r="A151" i="1"/>
  <c r="A149" i="1"/>
  <c r="A147" i="1"/>
  <c r="A145" i="1"/>
  <c r="A143" i="1"/>
  <c r="A141" i="1"/>
  <c r="F278" i="1"/>
  <c r="A272" i="1"/>
  <c r="G265" i="1"/>
  <c r="D259" i="1"/>
  <c r="H252" i="1"/>
  <c r="H244" i="1"/>
  <c r="H236" i="1"/>
  <c r="H228" i="1"/>
  <c r="H220" i="1"/>
  <c r="H212" i="1"/>
  <c r="B208" i="1"/>
  <c r="B204" i="1"/>
  <c r="B200" i="1"/>
  <c r="A196" i="1"/>
  <c r="A192" i="1"/>
  <c r="H283" i="1"/>
  <c r="F277" i="1"/>
  <c r="A271" i="1"/>
  <c r="G264" i="1"/>
  <c r="D258" i="1"/>
  <c r="G251" i="1"/>
  <c r="G243" i="1"/>
  <c r="G235" i="1"/>
  <c r="G227" i="1"/>
  <c r="G219" i="1"/>
  <c r="G211" i="1"/>
  <c r="E207" i="1"/>
  <c r="E203" i="1"/>
  <c r="E199" i="1"/>
  <c r="D195" i="1"/>
  <c r="D191" i="1"/>
  <c r="A282" i="1"/>
  <c r="D269" i="1"/>
  <c r="F256" i="1"/>
  <c r="F241" i="1"/>
  <c r="F225" i="1"/>
  <c r="D210" i="1"/>
  <c r="D202" i="1"/>
  <c r="C194" i="1"/>
  <c r="E187" i="1"/>
  <c r="E183" i="1"/>
  <c r="E179" i="1"/>
  <c r="E175" i="1"/>
  <c r="E171" i="1"/>
  <c r="E167" i="1"/>
  <c r="E163" i="1"/>
  <c r="E159" i="1"/>
  <c r="D280" i="1"/>
  <c r="F267" i="1"/>
  <c r="G254" i="1"/>
  <c r="A239" i="1"/>
  <c r="A223" i="1"/>
  <c r="C209" i="1"/>
  <c r="C201" i="1"/>
  <c r="B193" i="1"/>
  <c r="H186" i="1"/>
  <c r="H182" i="1"/>
  <c r="H178" i="1"/>
  <c r="H174" i="1"/>
  <c r="H170" i="1"/>
  <c r="H166" i="1"/>
  <c r="D164" i="1"/>
  <c r="H161" i="1"/>
  <c r="H158" i="1"/>
  <c r="H156" i="1"/>
  <c r="D273" i="1"/>
  <c r="F260" i="1"/>
  <c r="F246" i="1"/>
  <c r="F230" i="1"/>
  <c r="F214" i="1"/>
  <c r="H204" i="1"/>
  <c r="H196" i="1"/>
  <c r="G188" i="1"/>
  <c r="G184" i="1"/>
  <c r="G180" i="1"/>
  <c r="G176" i="1"/>
  <c r="G172" i="1"/>
  <c r="G168" i="1"/>
  <c r="G164" i="1"/>
  <c r="G160" i="1"/>
  <c r="G156" i="1"/>
  <c r="G154" i="1"/>
  <c r="F152" i="1"/>
  <c r="F150" i="1"/>
  <c r="F148" i="1"/>
  <c r="F146" i="1"/>
  <c r="F144" i="1"/>
  <c r="F142" i="1"/>
  <c r="F140" i="1"/>
  <c r="F138" i="1"/>
  <c r="F136" i="1"/>
  <c r="F134" i="1"/>
  <c r="F132" i="1"/>
  <c r="F130" i="1"/>
  <c r="F128" i="1"/>
  <c r="F126" i="1"/>
  <c r="F124" i="1"/>
  <c r="A273" i="1"/>
  <c r="D260" i="1"/>
  <c r="A246" i="1"/>
  <c r="A230" i="1"/>
  <c r="A214" i="1"/>
  <c r="G204" i="1"/>
  <c r="G196" i="1"/>
  <c r="F188" i="1"/>
  <c r="F184" i="1"/>
  <c r="F180" i="1"/>
  <c r="F176" i="1"/>
  <c r="F172" i="1"/>
  <c r="F168" i="1"/>
  <c r="F164" i="1"/>
  <c r="F160" i="1"/>
  <c r="F156" i="1"/>
  <c r="F154" i="1"/>
  <c r="E152" i="1"/>
  <c r="E150" i="1"/>
  <c r="E148" i="1"/>
  <c r="E146" i="1"/>
  <c r="E144" i="1"/>
  <c r="E142" i="1"/>
  <c r="E140" i="1"/>
  <c r="H276" i="1"/>
  <c r="F270" i="1"/>
  <c r="A264" i="1"/>
  <c r="G257" i="1"/>
  <c r="H250" i="1"/>
  <c r="H242" i="1"/>
  <c r="H234" i="1"/>
  <c r="H226" i="1"/>
  <c r="H218" i="1"/>
  <c r="B211" i="1"/>
  <c r="B207" i="1"/>
  <c r="B203" i="1"/>
  <c r="B199" i="1"/>
  <c r="A195" i="1"/>
  <c r="A191" i="1"/>
  <c r="D282" i="1"/>
  <c r="H275" i="1"/>
  <c r="F269" i="1"/>
  <c r="A263" i="1"/>
  <c r="G256" i="1"/>
  <c r="G249" i="1"/>
  <c r="G241" i="1"/>
  <c r="G233" i="1"/>
  <c r="G225" i="1"/>
  <c r="G217" i="1"/>
  <c r="E210" i="1"/>
  <c r="E206" i="1"/>
  <c r="E202" i="1"/>
  <c r="E198" i="1"/>
  <c r="D194" i="1"/>
  <c r="D190" i="1"/>
  <c r="H278" i="1"/>
  <c r="A266" i="1"/>
  <c r="D253" i="1"/>
  <c r="F237" i="1"/>
  <c r="F221" i="1"/>
  <c r="D208" i="1"/>
  <c r="D200" i="1"/>
  <c r="C192" i="1"/>
  <c r="E186" i="1"/>
  <c r="E182" i="1"/>
  <c r="E178" i="1"/>
  <c r="E174" i="1"/>
  <c r="E170" i="1"/>
  <c r="E166" i="1"/>
  <c r="E162" i="1"/>
  <c r="E158" i="1"/>
  <c r="A277" i="1"/>
  <c r="D264" i="1"/>
  <c r="A251" i="1"/>
  <c r="A235" i="1"/>
  <c r="A219" i="1"/>
  <c r="C207" i="1"/>
  <c r="C199" i="1"/>
  <c r="B191" i="1"/>
  <c r="H185" i="1"/>
  <c r="H181" i="1"/>
  <c r="D166" i="1"/>
  <c r="H282" i="1"/>
  <c r="F226" i="1"/>
  <c r="G187" i="1"/>
  <c r="G171" i="1"/>
  <c r="C156" i="1"/>
  <c r="B148" i="1"/>
  <c r="B140" i="1"/>
  <c r="B132" i="1"/>
  <c r="G282" i="1"/>
  <c r="A226" i="1"/>
  <c r="F187" i="1"/>
  <c r="F171" i="1"/>
  <c r="B156" i="1"/>
  <c r="A148" i="1"/>
  <c r="A140" i="1"/>
  <c r="A137" i="1"/>
  <c r="E134" i="1"/>
  <c r="A132" i="1"/>
  <c r="A129" i="1"/>
  <c r="A127" i="1"/>
  <c r="A125" i="1"/>
  <c r="A262" i="1"/>
  <c r="F232" i="1"/>
  <c r="H205" i="1"/>
  <c r="G189" i="1"/>
  <c r="C181" i="1"/>
  <c r="C173" i="1"/>
  <c r="C165" i="1"/>
  <c r="C157" i="1"/>
  <c r="H152" i="1"/>
  <c r="H148" i="1"/>
  <c r="H144" i="1"/>
  <c r="H140" i="1"/>
  <c r="H136" i="1"/>
  <c r="H132" i="1"/>
  <c r="H128" i="1"/>
  <c r="H124" i="1"/>
  <c r="G122" i="1"/>
  <c r="G120" i="1"/>
  <c r="G118" i="1"/>
  <c r="G116" i="1"/>
  <c r="G114" i="1"/>
  <c r="G112" i="1"/>
  <c r="G110" i="1"/>
  <c r="G108" i="1"/>
  <c r="G106" i="1"/>
  <c r="G104" i="1"/>
  <c r="G102" i="1"/>
  <c r="G100" i="1"/>
  <c r="G98" i="1"/>
  <c r="G96" i="1"/>
  <c r="G94" i="1"/>
  <c r="G92" i="1"/>
  <c r="G90" i="1"/>
  <c r="G88" i="1"/>
  <c r="G86" i="1"/>
  <c r="G84" i="1"/>
  <c r="G82" i="1"/>
  <c r="G80" i="1"/>
  <c r="G78" i="1"/>
  <c r="G76" i="1"/>
  <c r="G74" i="1"/>
  <c r="G72" i="1"/>
  <c r="G70" i="1"/>
  <c r="G68" i="1"/>
  <c r="G66" i="1"/>
  <c r="G64" i="1"/>
  <c r="G62" i="1"/>
  <c r="G60" i="1"/>
  <c r="G58" i="1"/>
  <c r="G56" i="1"/>
  <c r="G54" i="1"/>
  <c r="G52" i="1"/>
  <c r="G50" i="1"/>
  <c r="G48" i="1"/>
  <c r="G46" i="1"/>
  <c r="G44" i="1"/>
  <c r="G42" i="1"/>
  <c r="G40" i="1"/>
  <c r="G38" i="1"/>
  <c r="G36" i="1"/>
  <c r="G34" i="1"/>
  <c r="G32" i="1"/>
  <c r="G30" i="1"/>
  <c r="A281" i="1"/>
  <c r="F255" i="1"/>
  <c r="A224" i="1"/>
  <c r="G201" i="1"/>
  <c r="B187" i="1"/>
  <c r="B179" i="1"/>
  <c r="B171" i="1"/>
  <c r="B163" i="1"/>
  <c r="H155" i="1"/>
  <c r="G151" i="1"/>
  <c r="G147" i="1"/>
  <c r="G143" i="1"/>
  <c r="G139" i="1"/>
  <c r="G135" i="1"/>
  <c r="G131" i="1"/>
  <c r="G127" i="1"/>
  <c r="B124" i="1"/>
  <c r="B122" i="1"/>
  <c r="B120" i="1"/>
  <c r="B118" i="1"/>
  <c r="B116" i="1"/>
  <c r="B114" i="1"/>
  <c r="B112" i="1"/>
  <c r="B110" i="1"/>
  <c r="B108" i="1"/>
  <c r="B106" i="1"/>
  <c r="B104" i="1"/>
  <c r="B102" i="1"/>
  <c r="B100" i="1"/>
  <c r="B98" i="1"/>
  <c r="B96" i="1"/>
  <c r="B94" i="1"/>
  <c r="B92" i="1"/>
  <c r="H177" i="1"/>
  <c r="H163" i="1"/>
  <c r="A270" i="1"/>
  <c r="H210" i="1"/>
  <c r="G183" i="1"/>
  <c r="G167" i="1"/>
  <c r="B154" i="1"/>
  <c r="B146" i="1"/>
  <c r="B138" i="1"/>
  <c r="B130" i="1"/>
  <c r="H269" i="1"/>
  <c r="G210" i="1"/>
  <c r="F183" i="1"/>
  <c r="F167" i="1"/>
  <c r="A154" i="1"/>
  <c r="A146" i="1"/>
  <c r="A139" i="1"/>
  <c r="E136" i="1"/>
  <c r="A134" i="1"/>
  <c r="A131" i="1"/>
  <c r="E128" i="1"/>
  <c r="E126" i="1"/>
  <c r="D281" i="1"/>
  <c r="G255" i="1"/>
  <c r="F224" i="1"/>
  <c r="H201" i="1"/>
  <c r="C187" i="1"/>
  <c r="C179" i="1"/>
  <c r="C171" i="1"/>
  <c r="C163" i="1"/>
  <c r="A156" i="1"/>
  <c r="H151" i="1"/>
  <c r="H147" i="1"/>
  <c r="H143" i="1"/>
  <c r="H139" i="1"/>
  <c r="H135" i="1"/>
  <c r="H131" i="1"/>
  <c r="H127" i="1"/>
  <c r="C124" i="1"/>
  <c r="C122" i="1"/>
  <c r="C120" i="1"/>
  <c r="C118" i="1"/>
  <c r="C116" i="1"/>
  <c r="C114" i="1"/>
  <c r="C112" i="1"/>
  <c r="C110" i="1"/>
  <c r="C108" i="1"/>
  <c r="C106" i="1"/>
  <c r="C104" i="1"/>
  <c r="C102" i="1"/>
  <c r="C100" i="1"/>
  <c r="C98" i="1"/>
  <c r="C96" i="1"/>
  <c r="C94" i="1"/>
  <c r="C92" i="1"/>
  <c r="C90" i="1"/>
  <c r="C88" i="1"/>
  <c r="C86" i="1"/>
  <c r="C84" i="1"/>
  <c r="C82" i="1"/>
  <c r="C80" i="1"/>
  <c r="C78" i="1"/>
  <c r="C76" i="1"/>
  <c r="C74" i="1"/>
  <c r="C72" i="1"/>
  <c r="C70" i="1"/>
  <c r="C68" i="1"/>
  <c r="C66" i="1"/>
  <c r="C64" i="1"/>
  <c r="C62" i="1"/>
  <c r="C60" i="1"/>
  <c r="C58" i="1"/>
  <c r="C56" i="1"/>
  <c r="C54" i="1"/>
  <c r="C52" i="1"/>
  <c r="C50" i="1"/>
  <c r="C48" i="1"/>
  <c r="C46" i="1"/>
  <c r="C44" i="1"/>
  <c r="C42" i="1"/>
  <c r="C40" i="1"/>
  <c r="C38" i="1"/>
  <c r="C36" i="1"/>
  <c r="C34" i="1"/>
  <c r="C32" i="1"/>
  <c r="C30" i="1"/>
  <c r="G274" i="1"/>
  <c r="A248" i="1"/>
  <c r="A216" i="1"/>
  <c r="G197" i="1"/>
  <c r="B185" i="1"/>
  <c r="B177" i="1"/>
  <c r="B169" i="1"/>
  <c r="B161" i="1"/>
  <c r="H154" i="1"/>
  <c r="G150" i="1"/>
  <c r="G146" i="1"/>
  <c r="G142" i="1"/>
  <c r="G138" i="1"/>
  <c r="G134" i="1"/>
  <c r="G130" i="1"/>
  <c r="G126" i="1"/>
  <c r="F123" i="1"/>
  <c r="F121" i="1"/>
  <c r="F119" i="1"/>
  <c r="F117" i="1"/>
  <c r="F115" i="1"/>
  <c r="F113" i="1"/>
  <c r="F111" i="1"/>
  <c r="F109" i="1"/>
  <c r="F107" i="1"/>
  <c r="F105" i="1"/>
  <c r="F103" i="1"/>
  <c r="F101" i="1"/>
  <c r="F99" i="1"/>
  <c r="H173" i="1"/>
  <c r="H160" i="1"/>
  <c r="D257" i="1"/>
  <c r="H202" i="1"/>
  <c r="G179" i="1"/>
  <c r="G163" i="1"/>
  <c r="B152" i="1"/>
  <c r="B144" i="1"/>
  <c r="B136" i="1"/>
  <c r="B128" i="1"/>
  <c r="A257" i="1"/>
  <c r="G202" i="1"/>
  <c r="F179" i="1"/>
  <c r="F163" i="1"/>
  <c r="A152" i="1"/>
  <c r="A144" i="1"/>
  <c r="E138" i="1"/>
  <c r="A136" i="1"/>
  <c r="A133" i="1"/>
  <c r="E130" i="1"/>
  <c r="A128" i="1"/>
  <c r="A126" i="1"/>
  <c r="H274" i="1"/>
  <c r="F248" i="1"/>
  <c r="F216" i="1"/>
  <c r="H197" i="1"/>
  <c r="C185" i="1"/>
  <c r="C177" i="1"/>
  <c r="C169" i="1"/>
  <c r="C161" i="1"/>
  <c r="A155" i="1"/>
  <c r="H150" i="1"/>
  <c r="H146" i="1"/>
  <c r="H142" i="1"/>
  <c r="H138" i="1"/>
  <c r="H134" i="1"/>
  <c r="H130" i="1"/>
  <c r="H126" i="1"/>
  <c r="G123" i="1"/>
  <c r="G121" i="1"/>
  <c r="G119" i="1"/>
  <c r="G117" i="1"/>
  <c r="G115" i="1"/>
  <c r="G113" i="1"/>
  <c r="G111" i="1"/>
  <c r="G109" i="1"/>
  <c r="G107" i="1"/>
  <c r="G105" i="1"/>
  <c r="G103" i="1"/>
  <c r="G101" i="1"/>
  <c r="G99" i="1"/>
  <c r="G97" i="1"/>
  <c r="G95" i="1"/>
  <c r="G93" i="1"/>
  <c r="G91" i="1"/>
  <c r="G89" i="1"/>
  <c r="G87" i="1"/>
  <c r="G85" i="1"/>
  <c r="G83" i="1"/>
  <c r="G81" i="1"/>
  <c r="G79" i="1"/>
  <c r="G77" i="1"/>
  <c r="G75" i="1"/>
  <c r="G73" i="1"/>
  <c r="G71" i="1"/>
  <c r="G69" i="1"/>
  <c r="G67" i="1"/>
  <c r="G65" i="1"/>
  <c r="G63" i="1"/>
  <c r="G61" i="1"/>
  <c r="G59" i="1"/>
  <c r="G57" i="1"/>
  <c r="G55" i="1"/>
  <c r="G53" i="1"/>
  <c r="G51" i="1"/>
  <c r="G49" i="1"/>
  <c r="G47" i="1"/>
  <c r="G45" i="1"/>
  <c r="G43" i="1"/>
  <c r="G41" i="1"/>
  <c r="G39" i="1"/>
  <c r="G37" i="1"/>
  <c r="G35" i="1"/>
  <c r="G33" i="1"/>
  <c r="G31" i="1"/>
  <c r="G29" i="1"/>
  <c r="D268" i="1"/>
  <c r="A240" i="1"/>
  <c r="G209" i="1"/>
  <c r="F193" i="1"/>
  <c r="B183" i="1"/>
  <c r="B175" i="1"/>
  <c r="B167" i="1"/>
  <c r="B159" i="1"/>
  <c r="G153" i="1"/>
  <c r="G149" i="1"/>
  <c r="G145" i="1"/>
  <c r="G141" i="1"/>
  <c r="G137" i="1"/>
  <c r="G133" i="1"/>
  <c r="G129" i="1"/>
  <c r="G125" i="1"/>
  <c r="B123" i="1"/>
  <c r="B121" i="1"/>
  <c r="B119" i="1"/>
  <c r="B117" i="1"/>
  <c r="B115" i="1"/>
  <c r="B113" i="1"/>
  <c r="B111" i="1"/>
  <c r="B109" i="1"/>
  <c r="B107" i="1"/>
  <c r="B105" i="1"/>
  <c r="B103" i="1"/>
  <c r="B101" i="1"/>
  <c r="B99" i="1"/>
  <c r="B97" i="1"/>
  <c r="B95" i="1"/>
  <c r="B93" i="1"/>
  <c r="B91" i="1"/>
  <c r="B89" i="1"/>
  <c r="B87" i="1"/>
  <c r="B85" i="1"/>
  <c r="B83" i="1"/>
  <c r="H169" i="1"/>
  <c r="D158" i="1"/>
  <c r="F242" i="1"/>
  <c r="G194" i="1"/>
  <c r="G175" i="1"/>
  <c r="G159" i="1"/>
  <c r="B150" i="1"/>
  <c r="B142" i="1"/>
  <c r="B134" i="1"/>
  <c r="B126" i="1"/>
  <c r="A242" i="1"/>
  <c r="F194" i="1"/>
  <c r="F175" i="1"/>
  <c r="F159" i="1"/>
  <c r="A150" i="1"/>
  <c r="A142" i="1"/>
  <c r="A138" i="1"/>
  <c r="A135" i="1"/>
  <c r="E132" i="1"/>
  <c r="A130" i="1"/>
  <c r="E127" i="1"/>
  <c r="E125" i="1"/>
  <c r="F268" i="1"/>
  <c r="F240" i="1"/>
  <c r="H209" i="1"/>
  <c r="G193" i="1"/>
  <c r="C183" i="1"/>
  <c r="C175" i="1"/>
  <c r="C167" i="1"/>
  <c r="C159" i="1"/>
  <c r="H153" i="1"/>
  <c r="H149" i="1"/>
  <c r="H145" i="1"/>
  <c r="H141" i="1"/>
  <c r="H137" i="1"/>
  <c r="H133" i="1"/>
  <c r="H129" i="1"/>
  <c r="H125" i="1"/>
  <c r="C123" i="1"/>
  <c r="C121" i="1"/>
  <c r="C119" i="1"/>
  <c r="C117" i="1"/>
  <c r="C115" i="1"/>
  <c r="C113" i="1"/>
  <c r="C111" i="1"/>
  <c r="C109" i="1"/>
  <c r="C107" i="1"/>
  <c r="C105" i="1"/>
  <c r="C103" i="1"/>
  <c r="C101" i="1"/>
  <c r="C99" i="1"/>
  <c r="C97" i="1"/>
  <c r="C95" i="1"/>
  <c r="C93" i="1"/>
  <c r="C91" i="1"/>
  <c r="C89" i="1"/>
  <c r="C87" i="1"/>
  <c r="C85" i="1"/>
  <c r="C83" i="1"/>
  <c r="C81" i="1"/>
  <c r="C79" i="1"/>
  <c r="C77" i="1"/>
  <c r="C75" i="1"/>
  <c r="C73" i="1"/>
  <c r="C71" i="1"/>
  <c r="C69" i="1"/>
  <c r="C67" i="1"/>
  <c r="C65" i="1"/>
  <c r="C63" i="1"/>
  <c r="C61" i="1"/>
  <c r="C59" i="1"/>
  <c r="C57" i="1"/>
  <c r="C55" i="1"/>
  <c r="C53" i="1"/>
  <c r="C51" i="1"/>
  <c r="C49" i="1"/>
  <c r="C47" i="1"/>
  <c r="C45" i="1"/>
  <c r="C43" i="1"/>
  <c r="C41" i="1"/>
  <c r="C39" i="1"/>
  <c r="C37" i="1"/>
  <c r="C35" i="1"/>
  <c r="C33" i="1"/>
  <c r="C31" i="1"/>
  <c r="C29" i="1"/>
  <c r="H261" i="1"/>
  <c r="A232" i="1"/>
  <c r="G205" i="1"/>
  <c r="F189" i="1"/>
  <c r="B181" i="1"/>
  <c r="B173" i="1"/>
  <c r="B165" i="1"/>
  <c r="B157" i="1"/>
  <c r="G152" i="1"/>
  <c r="G148" i="1"/>
  <c r="G144" i="1"/>
  <c r="G140" i="1"/>
  <c r="G136" i="1"/>
  <c r="G132" i="1"/>
  <c r="G128" i="1"/>
  <c r="G124" i="1"/>
  <c r="F122" i="1"/>
  <c r="F120" i="1"/>
  <c r="F118" i="1"/>
  <c r="F116" i="1"/>
  <c r="F114" i="1"/>
  <c r="F112" i="1"/>
  <c r="F110" i="1"/>
  <c r="F108" i="1"/>
  <c r="F106" i="1"/>
  <c r="F104" i="1"/>
  <c r="F102" i="1"/>
  <c r="F100" i="1"/>
  <c r="F98" i="1"/>
  <c r="F96" i="1"/>
  <c r="F94" i="1"/>
  <c r="F92" i="1"/>
  <c r="F90" i="1"/>
  <c r="F88" i="1"/>
  <c r="F86" i="1"/>
  <c r="F84" i="1"/>
  <c r="F82" i="1"/>
  <c r="F80" i="1"/>
  <c r="F78" i="1"/>
  <c r="F76" i="1"/>
  <c r="F74" i="1"/>
  <c r="F97" i="1"/>
  <c r="B90" i="1"/>
  <c r="B86" i="1"/>
  <c r="B82" i="1"/>
  <c r="F79" i="1"/>
  <c r="B77" i="1"/>
  <c r="B74" i="1"/>
  <c r="B72" i="1"/>
  <c r="B70" i="1"/>
  <c r="B68" i="1"/>
  <c r="B66" i="1"/>
  <c r="B64" i="1"/>
  <c r="B62" i="1"/>
  <c r="B60" i="1"/>
  <c r="B58" i="1"/>
  <c r="B56" i="1"/>
  <c r="B54" i="1"/>
  <c r="B52" i="1"/>
  <c r="B50" i="1"/>
  <c r="B48" i="1"/>
  <c r="B46" i="1"/>
  <c r="B44" i="1"/>
  <c r="B42" i="1"/>
  <c r="B40" i="1"/>
  <c r="B38" i="1"/>
  <c r="B36" i="1"/>
  <c r="B34" i="1"/>
  <c r="B32" i="1"/>
  <c r="B30" i="1"/>
  <c r="D265" i="1"/>
  <c r="H207" i="1"/>
  <c r="C182" i="1"/>
  <c r="C166" i="1"/>
  <c r="D153" i="1"/>
  <c r="D145" i="1"/>
  <c r="D137" i="1"/>
  <c r="D129" i="1"/>
  <c r="A123" i="1"/>
  <c r="A119" i="1"/>
  <c r="A115" i="1"/>
  <c r="A111" i="1"/>
  <c r="A107" i="1"/>
  <c r="A103" i="1"/>
  <c r="A99" i="1"/>
  <c r="A95" i="1"/>
  <c r="A91" i="1"/>
  <c r="A87" i="1"/>
  <c r="A83" i="1"/>
  <c r="A79" i="1"/>
  <c r="A75" i="1"/>
  <c r="A71" i="1"/>
  <c r="A67" i="1"/>
  <c r="A63" i="1"/>
  <c r="A59" i="1"/>
  <c r="A55" i="1"/>
  <c r="A51" i="1"/>
  <c r="A47" i="1"/>
  <c r="A43" i="1"/>
  <c r="A39" i="1"/>
  <c r="A35" i="1"/>
  <c r="A31" i="1"/>
  <c r="A228" i="1"/>
  <c r="B188" i="1"/>
  <c r="B172" i="1"/>
  <c r="D156" i="1"/>
  <c r="C148" i="1"/>
  <c r="C140" i="1"/>
  <c r="C132" i="1"/>
  <c r="D124" i="1"/>
  <c r="D120" i="1"/>
  <c r="D116" i="1"/>
  <c r="D112" i="1"/>
  <c r="D108" i="1"/>
  <c r="D104" i="1"/>
  <c r="D100" i="1"/>
  <c r="D96" i="1"/>
  <c r="D92" i="1"/>
  <c r="D88" i="1"/>
  <c r="D84" i="1"/>
  <c r="D80" i="1"/>
  <c r="D76" i="1"/>
  <c r="D72" i="1"/>
  <c r="D68" i="1"/>
  <c r="D64" i="1"/>
  <c r="D60" i="1"/>
  <c r="D56" i="1"/>
  <c r="D52" i="1"/>
  <c r="D48" i="1"/>
  <c r="D44" i="1"/>
  <c r="D40" i="1"/>
  <c r="D36" i="1"/>
  <c r="D32" i="1"/>
  <c r="H277" i="1"/>
  <c r="B186" i="1"/>
  <c r="D155" i="1"/>
  <c r="C139" i="1"/>
  <c r="H123" i="1"/>
  <c r="H115" i="1"/>
  <c r="H107" i="1"/>
  <c r="H99" i="1"/>
  <c r="H91" i="1"/>
  <c r="H83" i="1"/>
  <c r="H75" i="1"/>
  <c r="H67" i="1"/>
  <c r="H59" i="1"/>
  <c r="H51" i="1"/>
  <c r="H43" i="1"/>
  <c r="H35" i="1"/>
  <c r="H28" i="1"/>
  <c r="H26" i="1"/>
  <c r="H24" i="1"/>
  <c r="H22" i="1"/>
  <c r="H20" i="1"/>
  <c r="H18" i="1"/>
  <c r="H16" i="1"/>
  <c r="H14" i="1"/>
  <c r="H12" i="1"/>
  <c r="H10" i="1"/>
  <c r="H8" i="1"/>
  <c r="H6" i="1"/>
  <c r="G12" i="1"/>
  <c r="G8" i="1"/>
  <c r="C5" i="1"/>
  <c r="C141" i="1"/>
  <c r="H116" i="1"/>
  <c r="F95" i="1"/>
  <c r="F89" i="1"/>
  <c r="F85" i="1"/>
  <c r="F81" i="1"/>
  <c r="B79" i="1"/>
  <c r="B76" i="1"/>
  <c r="F73" i="1"/>
  <c r="F71" i="1"/>
  <c r="F69" i="1"/>
  <c r="F67" i="1"/>
  <c r="F65" i="1"/>
  <c r="F63" i="1"/>
  <c r="F61" i="1"/>
  <c r="F59" i="1"/>
  <c r="F57" i="1"/>
  <c r="F55" i="1"/>
  <c r="F53" i="1"/>
  <c r="F51" i="1"/>
  <c r="F49" i="1"/>
  <c r="F47" i="1"/>
  <c r="F45" i="1"/>
  <c r="F43" i="1"/>
  <c r="F41" i="1"/>
  <c r="F39" i="1"/>
  <c r="F37" i="1"/>
  <c r="F35" i="1"/>
  <c r="F33" i="1"/>
  <c r="F31" i="1"/>
  <c r="F29" i="1"/>
  <c r="F252" i="1"/>
  <c r="H199" i="1"/>
  <c r="C178" i="1"/>
  <c r="C162" i="1"/>
  <c r="D151" i="1"/>
  <c r="D143" i="1"/>
  <c r="D135" i="1"/>
  <c r="D127" i="1"/>
  <c r="A122" i="1"/>
  <c r="A118" i="1"/>
  <c r="A114" i="1"/>
  <c r="A110" i="1"/>
  <c r="A106" i="1"/>
  <c r="A102" i="1"/>
  <c r="A98" i="1"/>
  <c r="A94" i="1"/>
  <c r="A90" i="1"/>
  <c r="A86" i="1"/>
  <c r="A82" i="1"/>
  <c r="A78" i="1"/>
  <c r="A74" i="1"/>
  <c r="A70" i="1"/>
  <c r="A66" i="1"/>
  <c r="A62" i="1"/>
  <c r="A58" i="1"/>
  <c r="A54" i="1"/>
  <c r="A50" i="1"/>
  <c r="A46" i="1"/>
  <c r="A42" i="1"/>
  <c r="A38" i="1"/>
  <c r="A34" i="1"/>
  <c r="F271" i="1"/>
  <c r="A212" i="1"/>
  <c r="B184" i="1"/>
  <c r="B168" i="1"/>
  <c r="C154" i="1"/>
  <c r="C146" i="1"/>
  <c r="C138" i="1"/>
  <c r="C130" i="1"/>
  <c r="D123" i="1"/>
  <c r="D119" i="1"/>
  <c r="D115" i="1"/>
  <c r="D111" i="1"/>
  <c r="D107" i="1"/>
  <c r="D103" i="1"/>
  <c r="D99" i="1"/>
  <c r="D95" i="1"/>
  <c r="D91" i="1"/>
  <c r="D87" i="1"/>
  <c r="D83" i="1"/>
  <c r="D79" i="1"/>
  <c r="D75" i="1"/>
  <c r="D71" i="1"/>
  <c r="D67" i="1"/>
  <c r="D63" i="1"/>
  <c r="D59" i="1"/>
  <c r="D55" i="1"/>
  <c r="D51" i="1"/>
  <c r="D47" i="1"/>
  <c r="D43" i="1"/>
  <c r="D39" i="1"/>
  <c r="D35" i="1"/>
  <c r="D31" i="1"/>
  <c r="A252" i="1"/>
  <c r="B178" i="1"/>
  <c r="C151" i="1"/>
  <c r="C135" i="1"/>
  <c r="H121" i="1"/>
  <c r="H113" i="1"/>
  <c r="H105" i="1"/>
  <c r="H97" i="1"/>
  <c r="H89" i="1"/>
  <c r="H81" i="1"/>
  <c r="H73" i="1"/>
  <c r="H65" i="1"/>
  <c r="H57" i="1"/>
  <c r="H49" i="1"/>
  <c r="H41" i="1"/>
  <c r="H33" i="1"/>
  <c r="D28" i="1"/>
  <c r="D26" i="1"/>
  <c r="D24" i="1"/>
  <c r="D22" i="1"/>
  <c r="D20" i="1"/>
  <c r="F93" i="1"/>
  <c r="B88" i="1"/>
  <c r="B84" i="1"/>
  <c r="B81" i="1"/>
  <c r="B78" i="1"/>
  <c r="F75" i="1"/>
  <c r="B73" i="1"/>
  <c r="B71" i="1"/>
  <c r="B69" i="1"/>
  <c r="B67" i="1"/>
  <c r="B65" i="1"/>
  <c r="B63" i="1"/>
  <c r="B61" i="1"/>
  <c r="B59" i="1"/>
  <c r="B57" i="1"/>
  <c r="B55" i="1"/>
  <c r="B53" i="1"/>
  <c r="B51" i="1"/>
  <c r="B49" i="1"/>
  <c r="B47" i="1"/>
  <c r="B45" i="1"/>
  <c r="B43" i="1"/>
  <c r="B41" i="1"/>
  <c r="B39" i="1"/>
  <c r="B37" i="1"/>
  <c r="B35" i="1"/>
  <c r="B33" i="1"/>
  <c r="B31" i="1"/>
  <c r="B29" i="1"/>
  <c r="F236" i="1"/>
  <c r="G191" i="1"/>
  <c r="C174" i="1"/>
  <c r="C158" i="1"/>
  <c r="D149" i="1"/>
  <c r="D141" i="1"/>
  <c r="D133" i="1"/>
  <c r="D125" i="1"/>
  <c r="A121" i="1"/>
  <c r="A117" i="1"/>
  <c r="A113" i="1"/>
  <c r="A109" i="1"/>
  <c r="A105" i="1"/>
  <c r="A101" i="1"/>
  <c r="A97" i="1"/>
  <c r="A93" i="1"/>
  <c r="A89" i="1"/>
  <c r="A85" i="1"/>
  <c r="A81" i="1"/>
  <c r="A77" i="1"/>
  <c r="A73" i="1"/>
  <c r="A69" i="1"/>
  <c r="A65" i="1"/>
  <c r="A61" i="1"/>
  <c r="A57" i="1"/>
  <c r="A53" i="1"/>
  <c r="A49" i="1"/>
  <c r="A45" i="1"/>
  <c r="A41" i="1"/>
  <c r="A37" i="1"/>
  <c r="A33" i="1"/>
  <c r="G258" i="1"/>
  <c r="G203" i="1"/>
  <c r="B180" i="1"/>
  <c r="B164" i="1"/>
  <c r="C152" i="1"/>
  <c r="C144" i="1"/>
  <c r="C136" i="1"/>
  <c r="C128" i="1"/>
  <c r="D122" i="1"/>
  <c r="D118" i="1"/>
  <c r="D114" i="1"/>
  <c r="D110" i="1"/>
  <c r="D106" i="1"/>
  <c r="D102" i="1"/>
  <c r="D98" i="1"/>
  <c r="D94" i="1"/>
  <c r="D90" i="1"/>
  <c r="D86" i="1"/>
  <c r="D82" i="1"/>
  <c r="D78" i="1"/>
  <c r="D74" i="1"/>
  <c r="D70" i="1"/>
  <c r="D66" i="1"/>
  <c r="D62" i="1"/>
  <c r="D58" i="1"/>
  <c r="D54" i="1"/>
  <c r="D50" i="1"/>
  <c r="D46" i="1"/>
  <c r="D42" i="1"/>
  <c r="D38" i="1"/>
  <c r="D34" i="1"/>
  <c r="D30" i="1"/>
  <c r="A220" i="1"/>
  <c r="B170" i="1"/>
  <c r="C147" i="1"/>
  <c r="C131" i="1"/>
  <c r="H119" i="1"/>
  <c r="H111" i="1"/>
  <c r="H103" i="1"/>
  <c r="H95" i="1"/>
  <c r="H87" i="1"/>
  <c r="H79" i="1"/>
  <c r="H71" i="1"/>
  <c r="H63" i="1"/>
  <c r="H55" i="1"/>
  <c r="H47" i="1"/>
  <c r="H39" i="1"/>
  <c r="H31" i="1"/>
  <c r="H27" i="1"/>
  <c r="H25" i="1"/>
  <c r="H23" i="1"/>
  <c r="H21" i="1"/>
  <c r="H19" i="1"/>
  <c r="H17" i="1"/>
  <c r="H15" i="1"/>
  <c r="H13" i="1"/>
  <c r="H11" i="1"/>
  <c r="H9" i="1"/>
  <c r="H7" i="1"/>
  <c r="H5" i="1"/>
  <c r="G10" i="1"/>
  <c r="C7" i="1"/>
  <c r="C153" i="1"/>
  <c r="C125" i="1"/>
  <c r="H108" i="1"/>
  <c r="H94" i="1"/>
  <c r="H78" i="1"/>
  <c r="F91" i="1"/>
  <c r="F87" i="1"/>
  <c r="F83" i="1"/>
  <c r="B80" i="1"/>
  <c r="F77" i="1"/>
  <c r="B75" i="1"/>
  <c r="F72" i="1"/>
  <c r="F70" i="1"/>
  <c r="F68" i="1"/>
  <c r="F66" i="1"/>
  <c r="F64" i="1"/>
  <c r="F62" i="1"/>
  <c r="F60" i="1"/>
  <c r="F58" i="1"/>
  <c r="F56" i="1"/>
  <c r="F54" i="1"/>
  <c r="F52" i="1"/>
  <c r="F50" i="1"/>
  <c r="F48" i="1"/>
  <c r="F46" i="1"/>
  <c r="F44" i="1"/>
  <c r="F42" i="1"/>
  <c r="F40" i="1"/>
  <c r="F38" i="1"/>
  <c r="F36" i="1"/>
  <c r="F34" i="1"/>
  <c r="F32" i="1"/>
  <c r="F30" i="1"/>
  <c r="A278" i="1"/>
  <c r="F220" i="1"/>
  <c r="C186" i="1"/>
  <c r="C170" i="1"/>
  <c r="E155" i="1"/>
  <c r="D147" i="1"/>
  <c r="D139" i="1"/>
  <c r="D131" i="1"/>
  <c r="A124" i="1"/>
  <c r="A120" i="1"/>
  <c r="A116" i="1"/>
  <c r="A112" i="1"/>
  <c r="A108" i="1"/>
  <c r="A104" i="1"/>
  <c r="A100" i="1"/>
  <c r="A96" i="1"/>
  <c r="A92" i="1"/>
  <c r="A88" i="1"/>
  <c r="A84" i="1"/>
  <c r="A80" i="1"/>
  <c r="A76" i="1"/>
  <c r="A72" i="1"/>
  <c r="A68" i="1"/>
  <c r="A64" i="1"/>
  <c r="A60" i="1"/>
  <c r="A56" i="1"/>
  <c r="A52" i="1"/>
  <c r="A48" i="1"/>
  <c r="A44" i="1"/>
  <c r="A40" i="1"/>
  <c r="A36" i="1"/>
  <c r="A32" i="1"/>
  <c r="A244" i="1"/>
  <c r="F195" i="1"/>
  <c r="B176" i="1"/>
  <c r="B160" i="1"/>
  <c r="C150" i="1"/>
  <c r="C142" i="1"/>
  <c r="C134" i="1"/>
  <c r="C126" i="1"/>
  <c r="D121" i="1"/>
  <c r="D117" i="1"/>
  <c r="D113" i="1"/>
  <c r="D109" i="1"/>
  <c r="D105" i="1"/>
  <c r="D101" i="1"/>
  <c r="D97" i="1"/>
  <c r="D93" i="1"/>
  <c r="D89" i="1"/>
  <c r="D85" i="1"/>
  <c r="D81" i="1"/>
  <c r="D77" i="1"/>
  <c r="D73" i="1"/>
  <c r="D69" i="1"/>
  <c r="D65" i="1"/>
  <c r="D61" i="1"/>
  <c r="D57" i="1"/>
  <c r="D53" i="1"/>
  <c r="D49" i="1"/>
  <c r="D45" i="1"/>
  <c r="D41" i="1"/>
  <c r="D37" i="1"/>
  <c r="D33" i="1"/>
  <c r="D29" i="1"/>
  <c r="G199" i="1"/>
  <c r="B162" i="1"/>
  <c r="C143" i="1"/>
  <c r="C127" i="1"/>
  <c r="H117" i="1"/>
  <c r="H109" i="1"/>
  <c r="H101" i="1"/>
  <c r="H93" i="1"/>
  <c r="H85" i="1"/>
  <c r="H77" i="1"/>
  <c r="H69" i="1"/>
  <c r="H61" i="1"/>
  <c r="H53" i="1"/>
  <c r="H45" i="1"/>
  <c r="H37" i="1"/>
  <c r="A30" i="1"/>
  <c r="D27" i="1"/>
  <c r="D19" i="1"/>
  <c r="D15" i="1"/>
  <c r="D11" i="1"/>
  <c r="D7" i="1"/>
  <c r="G9" i="1"/>
  <c r="C145" i="1"/>
  <c r="H104" i="1"/>
  <c r="H86" i="1"/>
  <c r="H66" i="1"/>
  <c r="H52" i="1"/>
  <c r="H38" i="1"/>
  <c r="F28" i="1"/>
  <c r="F24" i="1"/>
  <c r="B21" i="1"/>
  <c r="B17" i="1"/>
  <c r="F13" i="1"/>
  <c r="F9" i="1"/>
  <c r="F5" i="1"/>
  <c r="C180" i="1"/>
  <c r="D136" i="1"/>
  <c r="E118" i="1"/>
  <c r="E104" i="1"/>
  <c r="E88" i="1"/>
  <c r="E72" i="1"/>
  <c r="E56" i="1"/>
  <c r="E40" i="1"/>
  <c r="A28" i="1"/>
  <c r="A25" i="1"/>
  <c r="A21" i="1"/>
  <c r="E17" i="1"/>
  <c r="E13" i="1"/>
  <c r="A10" i="1"/>
  <c r="A6" i="1"/>
  <c r="F212" i="1"/>
  <c r="C168" i="1"/>
  <c r="D146" i="1"/>
  <c r="D130" i="1"/>
  <c r="E119" i="1"/>
  <c r="E111" i="1"/>
  <c r="E103" i="1"/>
  <c r="E95" i="1"/>
  <c r="E87" i="1"/>
  <c r="E79" i="1"/>
  <c r="E71" i="1"/>
  <c r="E63" i="1"/>
  <c r="E55" i="1"/>
  <c r="E47" i="1"/>
  <c r="E39" i="1"/>
  <c r="E31" i="1"/>
  <c r="G27" i="1"/>
  <c r="G25" i="1"/>
  <c r="G23" i="1"/>
  <c r="G21" i="1"/>
  <c r="G19" i="1"/>
  <c r="G17" i="1"/>
  <c r="G15" i="1"/>
  <c r="G13" i="1"/>
  <c r="C10" i="1"/>
  <c r="G5" i="1"/>
  <c r="B182" i="1"/>
  <c r="C149" i="1"/>
  <c r="H118" i="1"/>
  <c r="H102" i="1"/>
  <c r="H84" i="1"/>
  <c r="H68" i="1"/>
  <c r="H48" i="1"/>
  <c r="E29" i="1"/>
  <c r="B25" i="1"/>
  <c r="F20" i="1"/>
  <c r="B16" i="1"/>
  <c r="B12" i="1"/>
  <c r="F7" i="1"/>
  <c r="F228" i="1"/>
  <c r="D140" i="1"/>
  <c r="E112" i="1"/>
  <c r="E94" i="1"/>
  <c r="E78" i="1"/>
  <c r="E62" i="1"/>
  <c r="E46" i="1"/>
  <c r="E30" i="1"/>
  <c r="E24" i="1"/>
  <c r="A20" i="1"/>
  <c r="A16" i="1"/>
  <c r="A12" i="1"/>
  <c r="E7" i="1"/>
  <c r="H62" i="1"/>
  <c r="B11" i="1"/>
  <c r="D128" i="1"/>
  <c r="E90" i="1"/>
  <c r="E74" i="1"/>
  <c r="E28" i="1"/>
  <c r="E10" i="1"/>
  <c r="D25" i="1"/>
  <c r="D18" i="1"/>
  <c r="D14" i="1"/>
  <c r="D10" i="1"/>
  <c r="D6" i="1"/>
  <c r="C8" i="1"/>
  <c r="C133" i="1"/>
  <c r="H100" i="1"/>
  <c r="H82" i="1"/>
  <c r="H64" i="1"/>
  <c r="H50" i="1"/>
  <c r="H36" i="1"/>
  <c r="F27" i="1"/>
  <c r="B24" i="1"/>
  <c r="B20" i="1"/>
  <c r="F16" i="1"/>
  <c r="F12" i="1"/>
  <c r="F8" i="1"/>
  <c r="H258" i="1"/>
  <c r="C164" i="1"/>
  <c r="D132" i="1"/>
  <c r="E114" i="1"/>
  <c r="E100" i="1"/>
  <c r="E84" i="1"/>
  <c r="E68" i="1"/>
  <c r="E52" i="1"/>
  <c r="E36" i="1"/>
  <c r="A27" i="1"/>
  <c r="A24" i="1"/>
  <c r="E20" i="1"/>
  <c r="E16" i="1"/>
  <c r="E12" i="1"/>
  <c r="A9" i="1"/>
  <c r="A5" i="1"/>
  <c r="G195" i="1"/>
  <c r="C160" i="1"/>
  <c r="D142" i="1"/>
  <c r="D126" i="1"/>
  <c r="E117" i="1"/>
  <c r="E109" i="1"/>
  <c r="E101" i="1"/>
  <c r="E93" i="1"/>
  <c r="E85" i="1"/>
  <c r="E77" i="1"/>
  <c r="E69" i="1"/>
  <c r="E61" i="1"/>
  <c r="E53" i="1"/>
  <c r="E45" i="1"/>
  <c r="E37" i="1"/>
  <c r="H29" i="1"/>
  <c r="C27" i="1"/>
  <c r="C25" i="1"/>
  <c r="C23" i="1"/>
  <c r="C21" i="1"/>
  <c r="C19" i="1"/>
  <c r="C17" i="1"/>
  <c r="C15" i="1"/>
  <c r="C13" i="1"/>
  <c r="C9" i="1"/>
  <c r="A265" i="1"/>
  <c r="B174" i="1"/>
  <c r="C137" i="1"/>
  <c r="H114" i="1"/>
  <c r="H98" i="1"/>
  <c r="H80" i="1"/>
  <c r="H44" i="1"/>
  <c r="B28" i="1"/>
  <c r="F23" i="1"/>
  <c r="F19" i="1"/>
  <c r="B15" i="1"/>
  <c r="F6" i="1"/>
  <c r="C172" i="1"/>
  <c r="E108" i="1"/>
  <c r="E58" i="1"/>
  <c r="A15" i="1"/>
  <c r="D23" i="1"/>
  <c r="D17" i="1"/>
  <c r="D13" i="1"/>
  <c r="D9" i="1"/>
  <c r="D5" i="1"/>
  <c r="C6" i="1"/>
  <c r="H120" i="1"/>
  <c r="H96" i="1"/>
  <c r="H74" i="1"/>
  <c r="H60" i="1"/>
  <c r="H46" i="1"/>
  <c r="H32" i="1"/>
  <c r="F26" i="1"/>
  <c r="B23" i="1"/>
  <c r="B19" i="1"/>
  <c r="F15" i="1"/>
  <c r="F11" i="1"/>
  <c r="B8" i="1"/>
  <c r="H203" i="1"/>
  <c r="D152" i="1"/>
  <c r="E124" i="1"/>
  <c r="E110" i="1"/>
  <c r="E96" i="1"/>
  <c r="E80" i="1"/>
  <c r="E64" i="1"/>
  <c r="E48" i="1"/>
  <c r="E32" i="1"/>
  <c r="E26" i="1"/>
  <c r="A23" i="1"/>
  <c r="E19" i="1"/>
  <c r="E15" i="1"/>
  <c r="E11" i="1"/>
  <c r="A8" i="1"/>
  <c r="G271" i="1"/>
  <c r="C184" i="1"/>
  <c r="D154" i="1"/>
  <c r="D138" i="1"/>
  <c r="E123" i="1"/>
  <c r="E115" i="1"/>
  <c r="E107" i="1"/>
  <c r="E99" i="1"/>
  <c r="E91" i="1"/>
  <c r="E83" i="1"/>
  <c r="E75" i="1"/>
  <c r="E67" i="1"/>
  <c r="E59" i="1"/>
  <c r="E51" i="1"/>
  <c r="E43" i="1"/>
  <c r="E35" i="1"/>
  <c r="G28" i="1"/>
  <c r="G26" i="1"/>
  <c r="G24" i="1"/>
  <c r="G22" i="1"/>
  <c r="G20" i="1"/>
  <c r="G18" i="1"/>
  <c r="G16" i="1"/>
  <c r="G14" i="1"/>
  <c r="C12" i="1"/>
  <c r="G7" i="1"/>
  <c r="G207" i="1"/>
  <c r="B166" i="1"/>
  <c r="C129" i="1"/>
  <c r="H110" i="1"/>
  <c r="H92" i="1"/>
  <c r="H76" i="1"/>
  <c r="H58" i="1"/>
  <c r="H40" i="1"/>
  <c r="B27" i="1"/>
  <c r="F22" i="1"/>
  <c r="F18" i="1"/>
  <c r="B14" i="1"/>
  <c r="B10" i="1"/>
  <c r="B6" i="1"/>
  <c r="E156" i="1"/>
  <c r="E122" i="1"/>
  <c r="E102" i="1"/>
  <c r="E86" i="1"/>
  <c r="E70" i="1"/>
  <c r="E54" i="1"/>
  <c r="E38" i="1"/>
  <c r="E27" i="1"/>
  <c r="E22" i="1"/>
  <c r="A18" i="1"/>
  <c r="A14" i="1"/>
  <c r="E9" i="1"/>
  <c r="E5" i="1"/>
  <c r="A13" i="1"/>
  <c r="E42" i="1"/>
  <c r="A19" i="1"/>
  <c r="D21" i="1"/>
  <c r="D16" i="1"/>
  <c r="D12" i="1"/>
  <c r="D8" i="1"/>
  <c r="G11" i="1"/>
  <c r="A236" i="1"/>
  <c r="H112" i="1"/>
  <c r="H90" i="1"/>
  <c r="H70" i="1"/>
  <c r="H56" i="1"/>
  <c r="H42" i="1"/>
  <c r="H30" i="1"/>
  <c r="F25" i="1"/>
  <c r="B22" i="1"/>
  <c r="B18" i="1"/>
  <c r="F14" i="1"/>
  <c r="F10" i="1"/>
  <c r="B7" i="1"/>
  <c r="C188" i="1"/>
  <c r="D144" i="1"/>
  <c r="E120" i="1"/>
  <c r="E106" i="1"/>
  <c r="E92" i="1"/>
  <c r="E76" i="1"/>
  <c r="E60" i="1"/>
  <c r="E44" i="1"/>
  <c r="A29" i="1"/>
  <c r="E25" i="1"/>
  <c r="A22" i="1"/>
  <c r="E18" i="1"/>
  <c r="E14" i="1"/>
  <c r="A11" i="1"/>
  <c r="A7" i="1"/>
  <c r="F244" i="1"/>
  <c r="C176" i="1"/>
  <c r="D150" i="1"/>
  <c r="D134" i="1"/>
  <c r="E121" i="1"/>
  <c r="E113" i="1"/>
  <c r="E105" i="1"/>
  <c r="E97" i="1"/>
  <c r="E89" i="1"/>
  <c r="E81" i="1"/>
  <c r="E73" i="1"/>
  <c r="E65" i="1"/>
  <c r="E57" i="1"/>
  <c r="E49" i="1"/>
  <c r="E41" i="1"/>
  <c r="E33" i="1"/>
  <c r="C28" i="1"/>
  <c r="C26" i="1"/>
  <c r="C24" i="1"/>
  <c r="C22" i="1"/>
  <c r="C20" i="1"/>
  <c r="C18" i="1"/>
  <c r="C16" i="1"/>
  <c r="C14" i="1"/>
  <c r="C11" i="1"/>
  <c r="G6" i="1"/>
  <c r="F191" i="1"/>
  <c r="B158" i="1"/>
  <c r="H122" i="1"/>
  <c r="H106" i="1"/>
  <c r="H88" i="1"/>
  <c r="H72" i="1"/>
  <c r="H54" i="1"/>
  <c r="H34" i="1"/>
  <c r="B26" i="1"/>
  <c r="F21" i="1"/>
  <c r="F17" i="1"/>
  <c r="B13" i="1"/>
  <c r="B9" i="1"/>
  <c r="B5" i="1"/>
  <c r="D148" i="1"/>
  <c r="E116" i="1"/>
  <c r="E98" i="1"/>
  <c r="E82" i="1"/>
  <c r="E66" i="1"/>
  <c r="E50" i="1"/>
  <c r="E34" i="1"/>
  <c r="A26" i="1"/>
  <c r="E21" i="1"/>
  <c r="A17" i="1"/>
  <c r="E8" i="1"/>
  <c r="E23" i="1"/>
  <c r="E6" i="1"/>
  <c r="I11" i="2" l="1"/>
  <c r="I12" i="2"/>
  <c r="I7" i="2"/>
  <c r="I15" i="2"/>
  <c r="I18" i="2"/>
  <c r="I8" i="2"/>
  <c r="I16" i="2"/>
  <c r="I19" i="2"/>
  <c r="I21" i="2"/>
</calcChain>
</file>

<file path=xl/sharedStrings.xml><?xml version="1.0" encoding="utf-8"?>
<sst xmlns="http://schemas.openxmlformats.org/spreadsheetml/2006/main" count="1935" uniqueCount="393">
  <si>
    <t>p</t>
  </si>
  <si>
    <t>Nr</t>
  </si>
  <si>
    <t>Nimi</t>
  </si>
  <si>
    <t>25m</t>
  </si>
  <si>
    <t>100m</t>
  </si>
  <si>
    <t>300m</t>
  </si>
  <si>
    <t>SUM</t>
  </si>
  <si>
    <t>Koht</t>
  </si>
  <si>
    <t>Malev</t>
  </si>
  <si>
    <t>50m cal.22</t>
  </si>
  <si>
    <t>25m cal.22</t>
  </si>
  <si>
    <t>Alutaguse</t>
  </si>
  <si>
    <t>Tallinn</t>
  </si>
  <si>
    <t>Tartu</t>
  </si>
  <si>
    <t>Valgamaa</t>
  </si>
  <si>
    <t>Viru</t>
  </si>
  <si>
    <t>Rapla</t>
  </si>
  <si>
    <t>KLPS</t>
  </si>
  <si>
    <t>Pärnumaa</t>
  </si>
  <si>
    <t>Sakala</t>
  </si>
  <si>
    <t>Harju</t>
  </si>
  <si>
    <t>Jõgeva</t>
  </si>
  <si>
    <t>KKÜ</t>
  </si>
  <si>
    <t>Lääne</t>
  </si>
  <si>
    <t>Järva</t>
  </si>
  <si>
    <t>Saaremaa</t>
  </si>
  <si>
    <t>Võrumaa</t>
  </si>
  <si>
    <t>Põlva</t>
  </si>
  <si>
    <t>KL Kool</t>
  </si>
  <si>
    <t>25m Püstol Tulemused</t>
  </si>
  <si>
    <t>Eesnimi</t>
  </si>
  <si>
    <t>Perekonnanimi</t>
  </si>
  <si>
    <t>Allar</t>
  </si>
  <si>
    <t>Mürk</t>
  </si>
  <si>
    <t>Jaanus</t>
  </si>
  <si>
    <t>Mätas</t>
  </si>
  <si>
    <t>Raul</t>
  </si>
  <si>
    <t>Erk</t>
  </si>
  <si>
    <t>Margus</t>
  </si>
  <si>
    <t>Grauberg</t>
  </si>
  <si>
    <t>Erik</t>
  </si>
  <si>
    <t>Amann</t>
  </si>
  <si>
    <t>Peeter</t>
  </si>
  <si>
    <t>Olesk</t>
  </si>
  <si>
    <t>Andres</t>
  </si>
  <si>
    <t>Tummeleht</t>
  </si>
  <si>
    <t>Andero</t>
  </si>
  <si>
    <t>Laurits</t>
  </si>
  <si>
    <t>Siim</t>
  </si>
  <si>
    <t>Illopmägi</t>
  </si>
  <si>
    <t>Kai</t>
  </si>
  <si>
    <t>Willadsen</t>
  </si>
  <si>
    <t>Ivar</t>
  </si>
  <si>
    <t>Tallerman</t>
  </si>
  <si>
    <t>Aleksei</t>
  </si>
  <si>
    <t>Osokin</t>
  </si>
  <si>
    <t>Dagnis</t>
  </si>
  <si>
    <t>Maiberg</t>
  </si>
  <si>
    <t>Janno</t>
  </si>
  <si>
    <t>Märk</t>
  </si>
  <si>
    <t>Toomas</t>
  </si>
  <si>
    <t>Luman</t>
  </si>
  <si>
    <t>Fred</t>
  </si>
  <si>
    <t>Raukas</t>
  </si>
  <si>
    <t>Andrus</t>
  </si>
  <si>
    <t>Reijo</t>
  </si>
  <si>
    <t>Virolainen</t>
  </si>
  <si>
    <t>Põldmaa</t>
  </si>
  <si>
    <t>Daimar</t>
  </si>
  <si>
    <t>Elp</t>
  </si>
  <si>
    <t>Tanel</t>
  </si>
  <si>
    <t>Oja</t>
  </si>
  <si>
    <t>Viia</t>
  </si>
  <si>
    <t>Kaldam</t>
  </si>
  <si>
    <t>Raivo</t>
  </si>
  <si>
    <t>Tamm</t>
  </si>
  <si>
    <t>Sven</t>
  </si>
  <si>
    <t>Ringvee</t>
  </si>
  <si>
    <t>Janis</t>
  </si>
  <si>
    <t>Aarne</t>
  </si>
  <si>
    <t>Signe</t>
  </si>
  <si>
    <t>Viggor</t>
  </si>
  <si>
    <t>Marco</t>
  </si>
  <si>
    <t>Miil</t>
  </si>
  <si>
    <t>Avo</t>
  </si>
  <si>
    <t>Aljas</t>
  </si>
  <si>
    <t>Marek</t>
  </si>
  <si>
    <t>Multram</t>
  </si>
  <si>
    <t>Neidla</t>
  </si>
  <si>
    <t>Henry</t>
  </si>
  <si>
    <t>Tammann</t>
  </si>
  <si>
    <t>Rasmus</t>
  </si>
  <si>
    <t>Ruusmäe</t>
  </si>
  <si>
    <t>Tõnis</t>
  </si>
  <si>
    <t>Metjer</t>
  </si>
  <si>
    <t>Taivo</t>
  </si>
  <si>
    <t>Eylandt</t>
  </si>
  <si>
    <t>Larissa</t>
  </si>
  <si>
    <t>Peeters</t>
  </si>
  <si>
    <t>Ülar</t>
  </si>
  <si>
    <t>Laaneoja</t>
  </si>
  <si>
    <t>Aare</t>
  </si>
  <si>
    <t>Väliste</t>
  </si>
  <si>
    <t>Viirlo</t>
  </si>
  <si>
    <t>Indrek</t>
  </si>
  <si>
    <t>Kriisa</t>
  </si>
  <si>
    <t>Juss</t>
  </si>
  <si>
    <t>Leinbock</t>
  </si>
  <si>
    <t>Rene</t>
  </si>
  <si>
    <t>Toomse</t>
  </si>
  <si>
    <t>Tambet</t>
  </si>
  <si>
    <t>Juht</t>
  </si>
  <si>
    <t>Rainis</t>
  </si>
  <si>
    <t>Tohv</t>
  </si>
  <si>
    <t>Aleksandr</t>
  </si>
  <si>
    <t>Voronin</t>
  </si>
  <si>
    <t>Lilian</t>
  </si>
  <si>
    <t>Telanne</t>
  </si>
  <si>
    <t>Alla</t>
  </si>
  <si>
    <t>Milogradskaja</t>
  </si>
  <si>
    <t>Sirle</t>
  </si>
  <si>
    <t>Baldesport-Märss</t>
  </si>
  <si>
    <t>Kirill</t>
  </si>
  <si>
    <t>Lepman</t>
  </si>
  <si>
    <t>Marianne</t>
  </si>
  <si>
    <t>Meister</t>
  </si>
  <si>
    <t>Gerli</t>
  </si>
  <si>
    <t>Leit</t>
  </si>
  <si>
    <t>Triin</t>
  </si>
  <si>
    <t>Tähtla</t>
  </si>
  <si>
    <t>Holger</t>
  </si>
  <si>
    <t>Rünkaru</t>
  </si>
  <si>
    <t>Helen</t>
  </si>
  <si>
    <t>Saal</t>
  </si>
  <si>
    <t>Andra</t>
  </si>
  <si>
    <t>Soopa</t>
  </si>
  <si>
    <t>Veiko</t>
  </si>
  <si>
    <t>Virunurm</t>
  </si>
  <si>
    <t>Niinepuu</t>
  </si>
  <si>
    <t>Siret</t>
  </si>
  <si>
    <t>Kristjan</t>
  </si>
  <si>
    <t>Saaremets</t>
  </si>
  <si>
    <t>Martin</t>
  </si>
  <si>
    <t>Lints</t>
  </si>
  <si>
    <t>Viktor</t>
  </si>
  <si>
    <t>Lillepruun</t>
  </si>
  <si>
    <t>Elmet</t>
  </si>
  <si>
    <t>Orasson</t>
  </si>
  <si>
    <t>Hindrek</t>
  </si>
  <si>
    <t>Lootus</t>
  </si>
  <si>
    <t>Roos</t>
  </si>
  <si>
    <t>Vinkel</t>
  </si>
  <si>
    <t>Õnne-Liisi</t>
  </si>
  <si>
    <t>Viidas</t>
  </si>
  <si>
    <t>Kaur Mihkel</t>
  </si>
  <si>
    <t>Matti</t>
  </si>
  <si>
    <t>Kanep</t>
  </si>
  <si>
    <t>Kala</t>
  </si>
  <si>
    <t>Vaiko</t>
  </si>
  <si>
    <t>Kütismaa</t>
  </si>
  <si>
    <t>Anu</t>
  </si>
  <si>
    <t>Asu</t>
  </si>
  <si>
    <t>Urmas</t>
  </si>
  <si>
    <t>Feldmann</t>
  </si>
  <si>
    <t>Grave</t>
  </si>
  <si>
    <t>Ants</t>
  </si>
  <si>
    <t>Pertelson</t>
  </si>
  <si>
    <t>Karl</t>
  </si>
  <si>
    <t>Essi</t>
  </si>
  <si>
    <t>Vootele</t>
  </si>
  <si>
    <t>Voit</t>
  </si>
  <si>
    <t>Priidik</t>
  </si>
  <si>
    <t>Hänni</t>
  </si>
  <si>
    <t>Leo</t>
  </si>
  <si>
    <t>Käige</t>
  </si>
  <si>
    <t>Rivo</t>
  </si>
  <si>
    <t>Poltimäe</t>
  </si>
  <si>
    <t>Ingrit</t>
  </si>
  <si>
    <t>Allas</t>
  </si>
  <si>
    <t>Imre</t>
  </si>
  <si>
    <t>Tsõmbalov</t>
  </si>
  <si>
    <t>Priit</t>
  </si>
  <si>
    <t>Avarmaa</t>
  </si>
  <si>
    <t>Kronberg</t>
  </si>
  <si>
    <t>Rebane</t>
  </si>
  <si>
    <t>Kristjen</t>
  </si>
  <si>
    <t>Kuus</t>
  </si>
  <si>
    <t>Tõnu</t>
  </si>
  <si>
    <t>Kibena</t>
  </si>
  <si>
    <t>Kristel</t>
  </si>
  <si>
    <t>Kaasiku</t>
  </si>
  <si>
    <t>Carmen</t>
  </si>
  <si>
    <t>Prii</t>
  </si>
  <si>
    <t>Riho</t>
  </si>
  <si>
    <t>Ühtegi</t>
  </si>
  <si>
    <t>Karoline</t>
  </si>
  <si>
    <t>Malk</t>
  </si>
  <si>
    <t>Patrick</t>
  </si>
  <si>
    <t>Madar</t>
  </si>
  <si>
    <t>Tarmo</t>
  </si>
  <si>
    <t>Randrüüt</t>
  </si>
  <si>
    <t>Silja</t>
  </si>
  <si>
    <t>Möllits</t>
  </si>
  <si>
    <t>Meeme</t>
  </si>
  <si>
    <t>Riismaa</t>
  </si>
  <si>
    <t>Margit</t>
  </si>
  <si>
    <t>Kaur</t>
  </si>
  <si>
    <t>Liis</t>
  </si>
  <si>
    <t>Kruuse</t>
  </si>
  <si>
    <t>Allan</t>
  </si>
  <si>
    <t>Kalju</t>
  </si>
  <si>
    <t>Marko</t>
  </si>
  <si>
    <t>Ender</t>
  </si>
  <si>
    <t>Marie</t>
  </si>
  <si>
    <t>Fischer</t>
  </si>
  <si>
    <t>Marge</t>
  </si>
  <si>
    <t>Ulm</t>
  </si>
  <si>
    <t>Olev</t>
  </si>
  <si>
    <t>Lomp</t>
  </si>
  <si>
    <t>Erki</t>
  </si>
  <si>
    <t>Jaaska</t>
  </si>
  <si>
    <t>Jürviste</t>
  </si>
  <si>
    <t>Sipelgas</t>
  </si>
  <si>
    <t>Sander</t>
  </si>
  <si>
    <t>Armus</t>
  </si>
  <si>
    <t>Kristiina</t>
  </si>
  <si>
    <t>Sireli</t>
  </si>
  <si>
    <t>Jeeberg</t>
  </si>
  <si>
    <t>Kold</t>
  </si>
  <si>
    <t>Heli</t>
  </si>
  <si>
    <t>Palgi</t>
  </si>
  <si>
    <t>Meelis</t>
  </si>
  <si>
    <t>Pallo</t>
  </si>
  <si>
    <t>Taavi</t>
  </si>
  <si>
    <t>Vaher - TOPELT</t>
  </si>
  <si>
    <t>Anne</t>
  </si>
  <si>
    <t>Kull</t>
  </si>
  <si>
    <t>Aili</t>
  </si>
  <si>
    <t>Mägi</t>
  </si>
  <si>
    <t>Reena</t>
  </si>
  <si>
    <t>Ley</t>
  </si>
  <si>
    <t>Innar</t>
  </si>
  <si>
    <t>Joost</t>
  </si>
  <si>
    <t>Aivar</t>
  </si>
  <si>
    <t>Narusk</t>
  </si>
  <si>
    <t>Anti</t>
  </si>
  <si>
    <t>Grünberg</t>
  </si>
  <si>
    <t>Lauri</t>
  </si>
  <si>
    <t>Erm</t>
  </si>
  <si>
    <t>Liiv</t>
  </si>
  <si>
    <t>Merri E.</t>
  </si>
  <si>
    <t>Laidma</t>
  </si>
  <si>
    <t>Renno</t>
  </si>
  <si>
    <t>Reinurm</t>
  </si>
  <si>
    <t>Ain</t>
  </si>
  <si>
    <t>Muru</t>
  </si>
  <si>
    <t>Kersti</t>
  </si>
  <si>
    <t>Kaare</t>
  </si>
  <si>
    <t>Elisa</t>
  </si>
  <si>
    <t>Jakson</t>
  </si>
  <si>
    <t>Katrin</t>
  </si>
  <si>
    <t>Urgard</t>
  </si>
  <si>
    <t>Leili</t>
  </si>
  <si>
    <t>Seisonen</t>
  </si>
  <si>
    <t>Kalle</t>
  </si>
  <si>
    <t>Toomet</t>
  </si>
  <si>
    <t>Ansip</t>
  </si>
  <si>
    <t>Raat</t>
  </si>
  <si>
    <t>Vassil</t>
  </si>
  <si>
    <t>Lemme</t>
  </si>
  <si>
    <t>Berkis</t>
  </si>
  <si>
    <t>Ljudmila</t>
  </si>
  <si>
    <t>Kortšagina</t>
  </si>
  <si>
    <t>Mari</t>
  </si>
  <si>
    <t>Hairk</t>
  </si>
  <si>
    <t>Suit</t>
  </si>
  <si>
    <t>Ele</t>
  </si>
  <si>
    <t>Lehes</t>
  </si>
  <si>
    <t>Evelin</t>
  </si>
  <si>
    <t>Lappalainen</t>
  </si>
  <si>
    <t>Siidirätsep</t>
  </si>
  <si>
    <t>Taimre</t>
  </si>
  <si>
    <t>Mihkel</t>
  </si>
  <si>
    <t>Kalbus</t>
  </si>
  <si>
    <t>Linda</t>
  </si>
  <si>
    <t>Pärn</t>
  </si>
  <si>
    <t>Eha</t>
  </si>
  <si>
    <t>Valdna</t>
  </si>
  <si>
    <t>Joonas</t>
  </si>
  <si>
    <t>Kikerpill</t>
  </si>
  <si>
    <t>Tiit</t>
  </si>
  <si>
    <t>Kaasik</t>
  </si>
  <si>
    <t>Liina</t>
  </si>
  <si>
    <t>Lepik</t>
  </si>
  <si>
    <t>Vahur</t>
  </si>
  <si>
    <t>Jaen</t>
  </si>
  <si>
    <t>Ots</t>
  </si>
  <si>
    <t>Janek</t>
  </si>
  <si>
    <t>Kert</t>
  </si>
  <si>
    <t>Kreem</t>
  </si>
  <si>
    <t>Aado</t>
  </si>
  <si>
    <t>Toomsalu</t>
  </si>
  <si>
    <t>Argo</t>
  </si>
  <si>
    <t>Park</t>
  </si>
  <si>
    <t>Karl-Peeter</t>
  </si>
  <si>
    <t>Ein</t>
  </si>
  <si>
    <t>Oksana</t>
  </si>
  <si>
    <t>Leesik</t>
  </si>
  <si>
    <t>Andri</t>
  </si>
  <si>
    <t>Tenson</t>
  </si>
  <si>
    <t>Valk</t>
  </si>
  <si>
    <t>Irina</t>
  </si>
  <si>
    <t>Fisina</t>
  </si>
  <si>
    <t>Kukispuu</t>
  </si>
  <si>
    <t>Natalja</t>
  </si>
  <si>
    <t>Skvortsova</t>
  </si>
  <si>
    <t>Kristina</t>
  </si>
  <si>
    <t>Polunina</t>
  </si>
  <si>
    <t>Madis</t>
  </si>
  <si>
    <t>Madisson</t>
  </si>
  <si>
    <t>Anniste</t>
  </si>
  <si>
    <t>Käi</t>
  </si>
  <si>
    <t>Silver</t>
  </si>
  <si>
    <t>Kindsigo</t>
  </si>
  <si>
    <t>Ülari</t>
  </si>
  <si>
    <t>Rooni</t>
  </si>
  <si>
    <t>Pille</t>
  </si>
  <si>
    <t>Kullamäe</t>
  </si>
  <si>
    <t>Joe</t>
  </si>
  <si>
    <t>Lepp</t>
  </si>
  <si>
    <t>Sinijärv</t>
  </si>
  <si>
    <t>Rando</t>
  </si>
  <si>
    <t>Köster</t>
  </si>
  <si>
    <t>Pahk</t>
  </si>
  <si>
    <t>Kahr</t>
  </si>
  <si>
    <t>Liivrand</t>
  </si>
  <si>
    <t>Mart</t>
  </si>
  <si>
    <t>Arrak</t>
  </si>
  <si>
    <t>Popp</t>
  </si>
  <si>
    <t>Pops</t>
  </si>
  <si>
    <t>Elise</t>
  </si>
  <si>
    <t>Saar</t>
  </si>
  <si>
    <t>Ando</t>
  </si>
  <si>
    <t>Larionov</t>
  </si>
  <si>
    <t>Juksaar</t>
  </si>
  <si>
    <t>Aivi</t>
  </si>
  <si>
    <t>Tarvis</t>
  </si>
  <si>
    <t>Jekaterina</t>
  </si>
  <si>
    <t>Tihhomirova</t>
  </si>
  <si>
    <t>Smirnova</t>
  </si>
  <si>
    <t>Kadri</t>
  </si>
  <si>
    <t>Järv</t>
  </si>
  <si>
    <t>Kivari</t>
  </si>
  <si>
    <t>Värva</t>
  </si>
  <si>
    <t>Spitsõn</t>
  </si>
  <si>
    <t>Svetlana</t>
  </si>
  <si>
    <t>Bogdanovits</t>
  </si>
  <si>
    <t>Lichtfeldt</t>
  </si>
  <si>
    <t>Vaher</t>
  </si>
  <si>
    <t>Mäe</t>
  </si>
  <si>
    <t>Niinemäe</t>
  </si>
  <si>
    <t>Marchus Joonas</t>
  </si>
  <si>
    <t>Koppel</t>
  </si>
  <si>
    <t>Teder</t>
  </si>
  <si>
    <t>Kardo</t>
  </si>
  <si>
    <t>Merivald</t>
  </si>
  <si>
    <t>Jaak</t>
  </si>
  <si>
    <t>Aibast</t>
  </si>
  <si>
    <t>Ivo</t>
  </si>
  <si>
    <t>Meller</t>
  </si>
  <si>
    <t>Purlau</t>
  </si>
  <si>
    <t>Ave</t>
  </si>
  <si>
    <t>Proos</t>
  </si>
  <si>
    <t>Märt</t>
  </si>
  <si>
    <t>Mikkov</t>
  </si>
  <si>
    <t>Merle</t>
  </si>
  <si>
    <t>Ehrbach</t>
  </si>
  <si>
    <t>100m Tulemused</t>
  </si>
  <si>
    <t>Kaitseliidu meistrivõistlus 2022 - 300m tulemused</t>
  </si>
  <si>
    <t>Kütiklass</t>
  </si>
  <si>
    <t>I</t>
  </si>
  <si>
    <t>II</t>
  </si>
  <si>
    <t>III</t>
  </si>
  <si>
    <t>Keskmine tulemus</t>
  </si>
  <si>
    <t>K2</t>
  </si>
  <si>
    <t>KL norm</t>
  </si>
  <si>
    <t>EK</t>
  </si>
  <si>
    <t>1/3 keskmine</t>
  </si>
  <si>
    <t>K1</t>
  </si>
  <si>
    <t>EL</t>
  </si>
  <si>
    <t>L1</t>
  </si>
  <si>
    <t>L2</t>
  </si>
  <si>
    <t xml:space="preserve">Vaher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</si>
</sst>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>
    <font>
      <sz val="10"/>
      <color rgb="FF000000"/>
      <name val="Arial"/>
      <scheme val="minor"/>
    </font>
    <font>
      <sz val="14"/>
      <color theme="1"/>
      <name val="Arial"/>
      <scheme val="minor"/>
    </font>
    <font>
      <sz val="10"/>
      <color rgb="FF000000"/>
      <name val="Arial"/>
      <family val="2"/>
      <charset val="186"/>
      <scheme val="minor"/>
    </font>
    <font>
      <b/>
      <sz val="10"/>
      <color rgb="FF000000"/>
      <name val="Arial"/>
      <family val="2"/>
      <charset val="186"/>
      <scheme val="minor"/>
    </font>
    <font>
      <sz val="12"/>
      <color rgb="FF000000"/>
      <name val="Arial"/>
      <family val="2"/>
      <charset val="186"/>
      <scheme val="minor"/>
    </font>
    <font>
      <sz val="14"/>
      <color theme="1"/>
      <name val="Arial"/>
      <family val="2"/>
      <charset val="186"/>
      <scheme val="minor"/>
    </font>
    <font>
      <sz val="14"/>
      <color rgb="FF000000"/>
      <name val="Arial"/>
      <family val="2"/>
      <charset val="186"/>
      <scheme val="minor"/>
    </font>
    <font>
      <sz val="14"/>
      <color rgb="FF000000"/>
      <name val="Inconsolata"/>
    </font>
    <font>
      <b/>
      <sz val="12"/>
      <color rgb="FF000000"/>
      <name val="Arial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/>
      <bottom style="medium">
        <color rgb="FFCCCCCC"/>
      </bottom>
      <diagonal/>
    </border>
  </borders>
  <cellStyleXfs count="1">
    <xf numFmtId="0" fontId="0" fillId="0" borderId="0"/>
  </cellStyleXfs>
  <cellXfs count="99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1" fillId="2" borderId="0" xfId="0" applyFont="1" applyFill="1" applyAlignment="1"/>
    <xf numFmtId="0" fontId="1" fillId="2" borderId="0" xfId="0" applyFont="1" applyFill="1"/>
    <xf numFmtId="0" fontId="2" fillId="0" borderId="0" xfId="0" applyFont="1" applyAlignme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wrapText="1"/>
    </xf>
    <xf numFmtId="0" fontId="2" fillId="4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5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wrapText="1"/>
    </xf>
    <xf numFmtId="0" fontId="2" fillId="8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wrapText="1"/>
    </xf>
    <xf numFmtId="0" fontId="2" fillId="9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left" wrapText="1"/>
    </xf>
    <xf numFmtId="0" fontId="2" fillId="9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wrapText="1"/>
    </xf>
    <xf numFmtId="0" fontId="2" fillId="0" borderId="2" xfId="0" applyFont="1" applyBorder="1" applyAlignment="1">
      <alignment horizontal="center"/>
    </xf>
    <xf numFmtId="0" fontId="3" fillId="0" borderId="0" xfId="0" applyFont="1" applyAlignment="1"/>
    <xf numFmtId="0" fontId="3" fillId="6" borderId="2" xfId="0" applyFont="1" applyFill="1" applyBorder="1" applyAlignment="1">
      <alignment horizontal="center"/>
    </xf>
    <xf numFmtId="49" fontId="2" fillId="0" borderId="0" xfId="0" applyNumberFormat="1" applyFont="1" applyAlignment="1"/>
    <xf numFmtId="0" fontId="2" fillId="0" borderId="7" xfId="0" applyFont="1" applyBorder="1" applyAlignment="1">
      <alignment horizontal="center" wrapText="1"/>
    </xf>
    <xf numFmtId="0" fontId="2" fillId="5" borderId="7" xfId="0" applyFont="1" applyFill="1" applyBorder="1" applyAlignment="1">
      <alignment horizontal="center" wrapText="1"/>
    </xf>
    <xf numFmtId="0" fontId="2" fillId="7" borderId="7" xfId="0" applyFont="1" applyFill="1" applyBorder="1" applyAlignment="1">
      <alignment horizontal="center" wrapText="1"/>
    </xf>
    <xf numFmtId="0" fontId="2" fillId="0" borderId="0" xfId="0" applyFont="1" applyBorder="1" applyAlignment="1"/>
    <xf numFmtId="0" fontId="2" fillId="0" borderId="6" xfId="0" applyFont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2" fillId="7" borderId="6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left" wrapText="1"/>
    </xf>
    <xf numFmtId="0" fontId="2" fillId="0" borderId="6" xfId="0" applyFont="1" applyBorder="1" applyAlignment="1">
      <alignment horizontal="center"/>
    </xf>
    <xf numFmtId="0" fontId="2" fillId="5" borderId="8" xfId="0" applyFont="1" applyFill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right" wrapText="1"/>
    </xf>
    <xf numFmtId="0" fontId="2" fillId="4" borderId="9" xfId="0" applyFont="1" applyFill="1" applyBorder="1" applyAlignment="1">
      <alignment wrapText="1"/>
    </xf>
    <xf numFmtId="0" fontId="2" fillId="4" borderId="9" xfId="0" applyFont="1" applyFill="1" applyBorder="1" applyAlignment="1">
      <alignment horizontal="center" wrapText="1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horizontal="center" wrapText="1"/>
    </xf>
    <xf numFmtId="0" fontId="2" fillId="5" borderId="10" xfId="0" applyFont="1" applyFill="1" applyBorder="1" applyAlignment="1">
      <alignment horizontal="center" wrapText="1"/>
    </xf>
    <xf numFmtId="0" fontId="2" fillId="6" borderId="11" xfId="0" applyFont="1" applyFill="1" applyBorder="1" applyAlignment="1">
      <alignment wrapText="1"/>
    </xf>
    <xf numFmtId="0" fontId="2" fillId="6" borderId="12" xfId="0" applyFont="1" applyFill="1" applyBorder="1" applyAlignment="1">
      <alignment wrapText="1"/>
    </xf>
    <xf numFmtId="0" fontId="2" fillId="6" borderId="12" xfId="0" applyFont="1" applyFill="1" applyBorder="1" applyAlignment="1">
      <alignment horizontal="center" wrapText="1"/>
    </xf>
    <xf numFmtId="0" fontId="2" fillId="6" borderId="13" xfId="0" applyFont="1" applyFill="1" applyBorder="1" applyAlignment="1">
      <alignment horizontal="center" wrapText="1"/>
    </xf>
    <xf numFmtId="0" fontId="2" fillId="6" borderId="14" xfId="0" applyFont="1" applyFill="1" applyBorder="1" applyAlignment="1">
      <alignment wrapText="1"/>
    </xf>
    <xf numFmtId="0" fontId="2" fillId="6" borderId="15" xfId="0" applyFont="1" applyFill="1" applyBorder="1" applyAlignment="1">
      <alignment horizontal="center" wrapText="1"/>
    </xf>
    <xf numFmtId="0" fontId="2" fillId="6" borderId="16" xfId="0" applyFont="1" applyFill="1" applyBorder="1" applyAlignment="1">
      <alignment wrapText="1"/>
    </xf>
    <xf numFmtId="0" fontId="2" fillId="6" borderId="17" xfId="0" applyFont="1" applyFill="1" applyBorder="1" applyAlignment="1">
      <alignment wrapText="1"/>
    </xf>
    <xf numFmtId="0" fontId="2" fillId="6" borderId="17" xfId="0" applyFont="1" applyFill="1" applyBorder="1" applyAlignment="1">
      <alignment horizontal="center" wrapText="1"/>
    </xf>
    <xf numFmtId="0" fontId="2" fillId="6" borderId="18" xfId="0" applyFont="1" applyFill="1" applyBorder="1" applyAlignment="1">
      <alignment horizontal="center" wrapText="1"/>
    </xf>
    <xf numFmtId="0" fontId="2" fillId="0" borderId="19" xfId="0" applyFont="1" applyBorder="1" applyAlignment="1">
      <alignment horizontal="center"/>
    </xf>
    <xf numFmtId="0" fontId="2" fillId="4" borderId="9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5" borderId="20" xfId="0" applyFont="1" applyFill="1" applyBorder="1" applyAlignment="1">
      <alignment horizontal="center" wrapText="1"/>
    </xf>
    <xf numFmtId="0" fontId="2" fillId="6" borderId="11" xfId="0" applyFont="1" applyFill="1" applyBorder="1" applyAlignment="1">
      <alignment horizontal="left" wrapText="1"/>
    </xf>
    <xf numFmtId="0" fontId="2" fillId="6" borderId="12" xfId="0" applyFont="1" applyFill="1" applyBorder="1" applyAlignment="1">
      <alignment horizontal="left" wrapText="1"/>
    </xf>
    <xf numFmtId="0" fontId="2" fillId="6" borderId="14" xfId="0" applyFont="1" applyFill="1" applyBorder="1" applyAlignment="1">
      <alignment horizontal="left" wrapText="1"/>
    </xf>
    <xf numFmtId="0" fontId="2" fillId="6" borderId="16" xfId="0" applyFont="1" applyFill="1" applyBorder="1" applyAlignment="1">
      <alignment horizontal="left" wrapText="1"/>
    </xf>
    <xf numFmtId="0" fontId="2" fillId="6" borderId="17" xfId="0" applyFont="1" applyFill="1" applyBorder="1" applyAlignment="1">
      <alignment horizontal="left" wrapText="1"/>
    </xf>
    <xf numFmtId="0" fontId="2" fillId="5" borderId="19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/>
    <xf numFmtId="0" fontId="7" fillId="3" borderId="0" xfId="0" applyFont="1" applyFill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5" borderId="1" xfId="0" applyFont="1" applyFill="1" applyBorder="1" applyAlignment="1">
      <alignment vertic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00"/>
  <sheetViews>
    <sheetView topLeftCell="A266" workbookViewId="0"/>
  </sheetViews>
  <sheetFormatPr defaultColWidth="12.5703125" defaultRowHeight="15.75" customHeight="1"/>
  <cols>
    <col min="1" max="1" width="6.5703125" customWidth="1"/>
    <col min="2" max="2" width="18.28515625" customWidth="1"/>
    <col min="5" max="5" width="9.85546875" customWidth="1"/>
    <col min="6" max="6" width="6.5703125" customWidth="1"/>
    <col min="7" max="7" width="7.42578125" customWidth="1"/>
    <col min="8" max="8" width="6.5703125" customWidth="1"/>
    <col min="9" max="10" width="7.140625" customWidth="1"/>
    <col min="11" max="11" width="8.28515625" customWidth="1"/>
  </cols>
  <sheetData>
    <row r="1" spans="1:26" ht="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>
      <c r="A4" s="3" t="s">
        <v>1</v>
      </c>
      <c r="B4" s="3" t="s">
        <v>2</v>
      </c>
      <c r="C4" s="4"/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4"/>
      <c r="J4" s="4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>
      <c r="A5" s="2">
        <f ca="1">IFERROR(__xludf.DUMMYFUNCTION("SORT(IMPORTRANGE(""https://docs.google.com/spreadsheets/d/1rbF3Fd4UoLs9VmtUuSWsIo1PW9V0g9vzHfKDpzaeI6w"",""Koond!A5:H""),8,True)"),102)</f>
        <v>102</v>
      </c>
      <c r="B5" s="2" t="str">
        <f ca="1">IFERROR(__xludf.DUMMYFUNCTION("""COMPUTED_VALUE"""),"Ivar")</f>
        <v>Ivar</v>
      </c>
      <c r="C5" s="2" t="str">
        <f ca="1">IFERROR(__xludf.DUMMYFUNCTION("""COMPUTED_VALUE"""),"Tallerman")</f>
        <v>Tallerman</v>
      </c>
      <c r="D5" s="2">
        <f ca="1">IFERROR(__xludf.DUMMYFUNCTION("""COMPUTED_VALUE"""),273)</f>
        <v>273</v>
      </c>
      <c r="E5" s="2">
        <f ca="1">IFERROR(__xludf.DUMMYFUNCTION("""COMPUTED_VALUE"""),283)</f>
        <v>283</v>
      </c>
      <c r="F5" s="2">
        <f ca="1">IFERROR(__xludf.DUMMYFUNCTION("""COMPUTED_VALUE"""),232)</f>
        <v>232</v>
      </c>
      <c r="G5" s="2">
        <f ca="1">IFERROR(__xludf.DUMMYFUNCTION("""COMPUTED_VALUE"""),788)</f>
        <v>788</v>
      </c>
      <c r="H5" s="2">
        <f ca="1">IFERROR(__xludf.DUMMYFUNCTION("""COMPUTED_VALUE"""),1)</f>
        <v>1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>
      <c r="A6" s="2">
        <f ca="1">IFERROR(__xludf.DUMMYFUNCTION("""COMPUTED_VALUE"""),103)</f>
        <v>103</v>
      </c>
      <c r="B6" s="2" t="str">
        <f ca="1">IFERROR(__xludf.DUMMYFUNCTION("""COMPUTED_VALUE"""),"Tanel")</f>
        <v>Tanel</v>
      </c>
      <c r="C6" s="2" t="str">
        <f ca="1">IFERROR(__xludf.DUMMYFUNCTION("""COMPUTED_VALUE"""),"Oja")</f>
        <v>Oja</v>
      </c>
      <c r="D6" s="2">
        <f ca="1">IFERROR(__xludf.DUMMYFUNCTION("""COMPUTED_VALUE"""),267)</f>
        <v>267</v>
      </c>
      <c r="E6" s="2">
        <f ca="1">IFERROR(__xludf.DUMMYFUNCTION("""COMPUTED_VALUE"""),268)</f>
        <v>268</v>
      </c>
      <c r="F6" s="2">
        <f ca="1">IFERROR(__xludf.DUMMYFUNCTION("""COMPUTED_VALUE"""),251)</f>
        <v>251</v>
      </c>
      <c r="G6" s="2">
        <f ca="1">IFERROR(__xludf.DUMMYFUNCTION("""COMPUTED_VALUE"""),786)</f>
        <v>786</v>
      </c>
      <c r="H6" s="2">
        <f ca="1">IFERROR(__xludf.DUMMYFUNCTION("""COMPUTED_VALUE"""),2)</f>
        <v>2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>
      <c r="A7" s="2">
        <f ca="1">IFERROR(__xludf.DUMMYFUNCTION("""COMPUTED_VALUE"""),27)</f>
        <v>27</v>
      </c>
      <c r="B7" s="2" t="str">
        <f ca="1">IFERROR(__xludf.DUMMYFUNCTION("""COMPUTED_VALUE"""),"Peeter")</f>
        <v>Peeter</v>
      </c>
      <c r="C7" s="2" t="str">
        <f ca="1">IFERROR(__xludf.DUMMYFUNCTION("""COMPUTED_VALUE"""),"Olesk")</f>
        <v>Olesk</v>
      </c>
      <c r="D7" s="2">
        <f ca="1">IFERROR(__xludf.DUMMYFUNCTION("""COMPUTED_VALUE"""),277)</f>
        <v>277</v>
      </c>
      <c r="E7" s="2">
        <f ca="1">IFERROR(__xludf.DUMMYFUNCTION("""COMPUTED_VALUE"""),280)</f>
        <v>280</v>
      </c>
      <c r="F7" s="2">
        <f ca="1">IFERROR(__xludf.DUMMYFUNCTION("""COMPUTED_VALUE"""),226)</f>
        <v>226</v>
      </c>
      <c r="G7" s="2">
        <f ca="1">IFERROR(__xludf.DUMMYFUNCTION("""COMPUTED_VALUE"""),783)</f>
        <v>783</v>
      </c>
      <c r="H7" s="2">
        <f ca="1">IFERROR(__xludf.DUMMYFUNCTION("""COMPUTED_VALUE"""),3)</f>
        <v>3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>
      <c r="A8" s="2">
        <f ca="1">IFERROR(__xludf.DUMMYFUNCTION("""COMPUTED_VALUE"""),101)</f>
        <v>101</v>
      </c>
      <c r="B8" s="2" t="str">
        <f ca="1">IFERROR(__xludf.DUMMYFUNCTION("""COMPUTED_VALUE"""),"Henry")</f>
        <v>Henry</v>
      </c>
      <c r="C8" s="2" t="str">
        <f ca="1">IFERROR(__xludf.DUMMYFUNCTION("""COMPUTED_VALUE"""),"Tammann")</f>
        <v>Tammann</v>
      </c>
      <c r="D8" s="2">
        <f ca="1">IFERROR(__xludf.DUMMYFUNCTION("""COMPUTED_VALUE"""),263)</f>
        <v>263</v>
      </c>
      <c r="E8" s="2">
        <f ca="1">IFERROR(__xludf.DUMMYFUNCTION("""COMPUTED_VALUE"""),272)</f>
        <v>272</v>
      </c>
      <c r="F8" s="2">
        <f ca="1">IFERROR(__xludf.DUMMYFUNCTION("""COMPUTED_VALUE"""),248)</f>
        <v>248</v>
      </c>
      <c r="G8" s="2">
        <f ca="1">IFERROR(__xludf.DUMMYFUNCTION("""COMPUTED_VALUE"""),783)</f>
        <v>783</v>
      </c>
      <c r="H8" s="2">
        <f ca="1">IFERROR(__xludf.DUMMYFUNCTION("""COMPUTED_VALUE"""),3)</f>
        <v>3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>
      <c r="A9" s="2">
        <f ca="1">IFERROR(__xludf.DUMMYFUNCTION("""COMPUTED_VALUE"""),106)</f>
        <v>106</v>
      </c>
      <c r="B9" s="1" t="str">
        <f ca="1">IFERROR(__xludf.DUMMYFUNCTION("""COMPUTED_VALUE"""),"Margus")</f>
        <v>Margus</v>
      </c>
      <c r="C9" s="2" t="str">
        <f ca="1">IFERROR(__xludf.DUMMYFUNCTION("""COMPUTED_VALUE"""),"Grauberg")</f>
        <v>Grauberg</v>
      </c>
      <c r="D9" s="2">
        <f ca="1">IFERROR(__xludf.DUMMYFUNCTION("""COMPUTED_VALUE"""),281)</f>
        <v>281</v>
      </c>
      <c r="E9" s="2">
        <f ca="1">IFERROR(__xludf.DUMMYFUNCTION("""COMPUTED_VALUE"""),276)</f>
        <v>276</v>
      </c>
      <c r="F9" s="2">
        <f ca="1">IFERROR(__xludf.DUMMYFUNCTION("""COMPUTED_VALUE"""),223)</f>
        <v>223</v>
      </c>
      <c r="G9" s="2">
        <f ca="1">IFERROR(__xludf.DUMMYFUNCTION("""COMPUTED_VALUE"""),780)</f>
        <v>780</v>
      </c>
      <c r="H9" s="2">
        <f ca="1">IFERROR(__xludf.DUMMYFUNCTION("""COMPUTED_VALUE"""),5)</f>
        <v>5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>
      <c r="A10" s="2">
        <f ca="1">IFERROR(__xludf.DUMMYFUNCTION("""COMPUTED_VALUE"""),50)</f>
        <v>50</v>
      </c>
      <c r="B10" s="2" t="str">
        <f ca="1">IFERROR(__xludf.DUMMYFUNCTION("""COMPUTED_VALUE"""),"Janis")</f>
        <v>Janis</v>
      </c>
      <c r="C10" s="2" t="str">
        <f ca="1">IFERROR(__xludf.DUMMYFUNCTION("""COMPUTED_VALUE"""),"Aarne")</f>
        <v>Aarne</v>
      </c>
      <c r="D10" s="2">
        <f ca="1">IFERROR(__xludf.DUMMYFUNCTION("""COMPUTED_VALUE"""),264)</f>
        <v>264</v>
      </c>
      <c r="E10" s="2">
        <f ca="1">IFERROR(__xludf.DUMMYFUNCTION("""COMPUTED_VALUE"""),278)</f>
        <v>278</v>
      </c>
      <c r="F10" s="2">
        <f ca="1">IFERROR(__xludf.DUMMYFUNCTION("""COMPUTED_VALUE"""),236)</f>
        <v>236</v>
      </c>
      <c r="G10" s="2">
        <f ca="1">IFERROR(__xludf.DUMMYFUNCTION("""COMPUTED_VALUE"""),778)</f>
        <v>778</v>
      </c>
      <c r="H10" s="2">
        <f ca="1">IFERROR(__xludf.DUMMYFUNCTION("""COMPUTED_VALUE"""),6)</f>
        <v>6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>
      <c r="A11" s="2">
        <f ca="1">IFERROR(__xludf.DUMMYFUNCTION("""COMPUTED_VALUE"""),24)</f>
        <v>24</v>
      </c>
      <c r="B11" s="2" t="str">
        <f ca="1">IFERROR(__xludf.DUMMYFUNCTION("""COMPUTED_VALUE"""),"Raul")</f>
        <v>Raul</v>
      </c>
      <c r="C11" s="2" t="str">
        <f ca="1">IFERROR(__xludf.DUMMYFUNCTION("""COMPUTED_VALUE"""),"Erk")</f>
        <v>Erk</v>
      </c>
      <c r="D11" s="2">
        <f ca="1">IFERROR(__xludf.DUMMYFUNCTION("""COMPUTED_VALUE"""),282)</f>
        <v>282</v>
      </c>
      <c r="E11" s="2">
        <f ca="1">IFERROR(__xludf.DUMMYFUNCTION("""COMPUTED_VALUE"""),282)</f>
        <v>282</v>
      </c>
      <c r="F11" s="2">
        <f ca="1">IFERROR(__xludf.DUMMYFUNCTION("""COMPUTED_VALUE"""),209)</f>
        <v>209</v>
      </c>
      <c r="G11" s="2">
        <f ca="1">IFERROR(__xludf.DUMMYFUNCTION("""COMPUTED_VALUE"""),773)</f>
        <v>773</v>
      </c>
      <c r="H11" s="2">
        <f ca="1">IFERROR(__xludf.DUMMYFUNCTION("""COMPUTED_VALUE"""),7)</f>
        <v>7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">
      <c r="A12" s="2">
        <f ca="1">IFERROR(__xludf.DUMMYFUNCTION("""COMPUTED_VALUE"""),12)</f>
        <v>12</v>
      </c>
      <c r="B12" s="2" t="str">
        <f ca="1">IFERROR(__xludf.DUMMYFUNCTION("""COMPUTED_VALUE"""),"Raivo")</f>
        <v>Raivo</v>
      </c>
      <c r="C12" s="2" t="str">
        <f ca="1">IFERROR(__xludf.DUMMYFUNCTION("""COMPUTED_VALUE"""),"Tamm")</f>
        <v>Tamm</v>
      </c>
      <c r="D12" s="2">
        <f ca="1">IFERROR(__xludf.DUMMYFUNCTION("""COMPUTED_VALUE"""),264)</f>
        <v>264</v>
      </c>
      <c r="E12" s="2">
        <f ca="1">IFERROR(__xludf.DUMMYFUNCTION("""COMPUTED_VALUE"""),274)</f>
        <v>274</v>
      </c>
      <c r="F12" s="2">
        <f ca="1">IFERROR(__xludf.DUMMYFUNCTION("""COMPUTED_VALUE"""),234)</f>
        <v>234</v>
      </c>
      <c r="G12" s="2">
        <f ca="1">IFERROR(__xludf.DUMMYFUNCTION("""COMPUTED_VALUE"""),772)</f>
        <v>772</v>
      </c>
      <c r="H12" s="2">
        <f ca="1">IFERROR(__xludf.DUMMYFUNCTION("""COMPUTED_VALUE"""),8)</f>
        <v>8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">
      <c r="A13" s="2">
        <f ca="1">IFERROR(__xludf.DUMMYFUNCTION("""COMPUTED_VALUE"""),73)</f>
        <v>73</v>
      </c>
      <c r="B13" s="2" t="str">
        <f ca="1">IFERROR(__xludf.DUMMYFUNCTION("""COMPUTED_VALUE"""),"Taivo")</f>
        <v>Taivo</v>
      </c>
      <c r="C13" s="2" t="str">
        <f ca="1">IFERROR(__xludf.DUMMYFUNCTION("""COMPUTED_VALUE"""),"Eylandt")</f>
        <v>Eylandt</v>
      </c>
      <c r="D13" s="2">
        <f ca="1">IFERROR(__xludf.DUMMYFUNCTION("""COMPUTED_VALUE"""),260)</f>
        <v>260</v>
      </c>
      <c r="E13" s="2">
        <f ca="1">IFERROR(__xludf.DUMMYFUNCTION("""COMPUTED_VALUE"""),277)</f>
        <v>277</v>
      </c>
      <c r="F13" s="2">
        <f ca="1">IFERROR(__xludf.DUMMYFUNCTION("""COMPUTED_VALUE"""),234)</f>
        <v>234</v>
      </c>
      <c r="G13" s="2">
        <f ca="1">IFERROR(__xludf.DUMMYFUNCTION("""COMPUTED_VALUE"""),771)</f>
        <v>771</v>
      </c>
      <c r="H13" s="2">
        <f ca="1">IFERROR(__xludf.DUMMYFUNCTION("""COMPUTED_VALUE"""),9)</f>
        <v>9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">
      <c r="A14" s="2">
        <f ca="1">IFERROR(__xludf.DUMMYFUNCTION("""COMPUTED_VALUE"""),25)</f>
        <v>25</v>
      </c>
      <c r="B14" s="2" t="str">
        <f ca="1">IFERROR(__xludf.DUMMYFUNCTION("""COMPUTED_VALUE"""),"Jaanus")</f>
        <v>Jaanus</v>
      </c>
      <c r="C14" s="2" t="str">
        <f ca="1">IFERROR(__xludf.DUMMYFUNCTION("""COMPUTED_VALUE"""),"Viirlo")</f>
        <v>Viirlo</v>
      </c>
      <c r="D14" s="2">
        <f ca="1">IFERROR(__xludf.DUMMYFUNCTION("""COMPUTED_VALUE"""),257)</f>
        <v>257</v>
      </c>
      <c r="E14" s="2">
        <f ca="1">IFERROR(__xludf.DUMMYFUNCTION("""COMPUTED_VALUE"""),274)</f>
        <v>274</v>
      </c>
      <c r="F14" s="2">
        <f ca="1">IFERROR(__xludf.DUMMYFUNCTION("""COMPUTED_VALUE"""),238)</f>
        <v>238</v>
      </c>
      <c r="G14" s="2">
        <f ca="1">IFERROR(__xludf.DUMMYFUNCTION("""COMPUTED_VALUE"""),769)</f>
        <v>769</v>
      </c>
      <c r="H14" s="2">
        <f ca="1">IFERROR(__xludf.DUMMYFUNCTION("""COMPUTED_VALUE"""),10)</f>
        <v>10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">
      <c r="A15" s="2">
        <f ca="1">IFERROR(__xludf.DUMMYFUNCTION("""COMPUTED_VALUE"""),17)</f>
        <v>17</v>
      </c>
      <c r="B15" s="2" t="str">
        <f ca="1">IFERROR(__xludf.DUMMYFUNCTION("""COMPUTED_VALUE"""),"Rene")</f>
        <v>Rene</v>
      </c>
      <c r="C15" s="2" t="str">
        <f ca="1">IFERROR(__xludf.DUMMYFUNCTION("""COMPUTED_VALUE"""),"Toomse")</f>
        <v>Toomse</v>
      </c>
      <c r="D15" s="2">
        <f ca="1">IFERROR(__xludf.DUMMYFUNCTION("""COMPUTED_VALUE"""),255)</f>
        <v>255</v>
      </c>
      <c r="E15" s="2">
        <f ca="1">IFERROR(__xludf.DUMMYFUNCTION("""COMPUTED_VALUE"""),276)</f>
        <v>276</v>
      </c>
      <c r="F15" s="2">
        <f ca="1">IFERROR(__xludf.DUMMYFUNCTION("""COMPUTED_VALUE"""),237)</f>
        <v>237</v>
      </c>
      <c r="G15" s="2">
        <f ca="1">IFERROR(__xludf.DUMMYFUNCTION("""COMPUTED_VALUE"""),768)</f>
        <v>768</v>
      </c>
      <c r="H15" s="2">
        <f ca="1">IFERROR(__xludf.DUMMYFUNCTION("""COMPUTED_VALUE"""),11)</f>
        <v>11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>
      <c r="A16" s="2">
        <f ca="1">IFERROR(__xludf.DUMMYFUNCTION("""COMPUTED_VALUE"""),107)</f>
        <v>107</v>
      </c>
      <c r="B16" s="2" t="str">
        <f ca="1">IFERROR(__xludf.DUMMYFUNCTION("""COMPUTED_VALUE"""),"Juss")</f>
        <v>Juss</v>
      </c>
      <c r="C16" s="2" t="str">
        <f ca="1">IFERROR(__xludf.DUMMYFUNCTION("""COMPUTED_VALUE"""),"Leinbock")</f>
        <v>Leinbock</v>
      </c>
      <c r="D16" s="2">
        <f ca="1">IFERROR(__xludf.DUMMYFUNCTION("""COMPUTED_VALUE"""),256)</f>
        <v>256</v>
      </c>
      <c r="E16" s="2">
        <f ca="1">IFERROR(__xludf.DUMMYFUNCTION("""COMPUTED_VALUE"""),271)</f>
        <v>271</v>
      </c>
      <c r="F16" s="2">
        <f ca="1">IFERROR(__xludf.DUMMYFUNCTION("""COMPUTED_VALUE"""),239)</f>
        <v>239</v>
      </c>
      <c r="G16" s="2">
        <f ca="1">IFERROR(__xludf.DUMMYFUNCTION("""COMPUTED_VALUE"""),766)</f>
        <v>766</v>
      </c>
      <c r="H16" s="2">
        <f ca="1">IFERROR(__xludf.DUMMYFUNCTION("""COMPUTED_VALUE"""),12)</f>
        <v>12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>
      <c r="A17" s="2">
        <f ca="1">IFERROR(__xludf.DUMMYFUNCTION("""COMPUTED_VALUE"""),130)</f>
        <v>130</v>
      </c>
      <c r="B17" s="2" t="str">
        <f ca="1">IFERROR(__xludf.DUMMYFUNCTION("""COMPUTED_VALUE"""),"Fred")</f>
        <v>Fred</v>
      </c>
      <c r="C17" s="2" t="str">
        <f ca="1">IFERROR(__xludf.DUMMYFUNCTION("""COMPUTED_VALUE"""),"Raukas")</f>
        <v>Raukas</v>
      </c>
      <c r="D17" s="2">
        <f ca="1">IFERROR(__xludf.DUMMYFUNCTION("""COMPUTED_VALUE"""),270)</f>
        <v>270</v>
      </c>
      <c r="E17" s="2">
        <f ca="1">IFERROR(__xludf.DUMMYFUNCTION("""COMPUTED_VALUE"""),280)</f>
        <v>280</v>
      </c>
      <c r="F17" s="2">
        <f ca="1">IFERROR(__xludf.DUMMYFUNCTION("""COMPUTED_VALUE"""),196)</f>
        <v>196</v>
      </c>
      <c r="G17" s="2">
        <f ca="1">IFERROR(__xludf.DUMMYFUNCTION("""COMPUTED_VALUE"""),746)</f>
        <v>746</v>
      </c>
      <c r="H17" s="2">
        <f ca="1">IFERROR(__xludf.DUMMYFUNCTION("""COMPUTED_VALUE"""),13)</f>
        <v>13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>
      <c r="A18" s="2">
        <f ca="1">IFERROR(__xludf.DUMMYFUNCTION("""COMPUTED_VALUE"""),18)</f>
        <v>18</v>
      </c>
      <c r="B18" s="2" t="str">
        <f ca="1">IFERROR(__xludf.DUMMYFUNCTION("""COMPUTED_VALUE"""),"Sven")</f>
        <v>Sven</v>
      </c>
      <c r="C18" s="2" t="str">
        <f ca="1">IFERROR(__xludf.DUMMYFUNCTION("""COMPUTED_VALUE"""),"Ringvee")</f>
        <v>Ringvee</v>
      </c>
      <c r="D18" s="2">
        <f ca="1">IFERROR(__xludf.DUMMYFUNCTION("""COMPUTED_VALUE"""),264)</f>
        <v>264</v>
      </c>
      <c r="E18" s="2">
        <f ca="1">IFERROR(__xludf.DUMMYFUNCTION("""COMPUTED_VALUE"""),281)</f>
        <v>281</v>
      </c>
      <c r="F18" s="2">
        <f ca="1">IFERROR(__xludf.DUMMYFUNCTION("""COMPUTED_VALUE"""),198)</f>
        <v>198</v>
      </c>
      <c r="G18" s="2">
        <f ca="1">IFERROR(__xludf.DUMMYFUNCTION("""COMPUTED_VALUE"""),743)</f>
        <v>743</v>
      </c>
      <c r="H18" s="2">
        <f ca="1">IFERROR(__xludf.DUMMYFUNCTION("""COMPUTED_VALUE"""),14)</f>
        <v>14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">
      <c r="A19" s="2">
        <f ca="1">IFERROR(__xludf.DUMMYFUNCTION("""COMPUTED_VALUE"""),67)</f>
        <v>67</v>
      </c>
      <c r="B19" s="2" t="str">
        <f ca="1">IFERROR(__xludf.DUMMYFUNCTION("""COMPUTED_VALUE"""),"Ülar")</f>
        <v>Ülar</v>
      </c>
      <c r="C19" s="2" t="str">
        <f ca="1">IFERROR(__xludf.DUMMYFUNCTION("""COMPUTED_VALUE"""),"Laaneoja")</f>
        <v>Laaneoja</v>
      </c>
      <c r="D19" s="2">
        <f ca="1">IFERROR(__xludf.DUMMYFUNCTION("""COMPUTED_VALUE"""),259)</f>
        <v>259</v>
      </c>
      <c r="E19" s="2">
        <f ca="1">IFERROR(__xludf.DUMMYFUNCTION("""COMPUTED_VALUE"""),262)</f>
        <v>262</v>
      </c>
      <c r="F19" s="2">
        <f ca="1">IFERROR(__xludf.DUMMYFUNCTION("""COMPUTED_VALUE"""),219)</f>
        <v>219</v>
      </c>
      <c r="G19" s="2">
        <f ca="1">IFERROR(__xludf.DUMMYFUNCTION("""COMPUTED_VALUE"""),740)</f>
        <v>740</v>
      </c>
      <c r="H19" s="2">
        <f ca="1">IFERROR(__xludf.DUMMYFUNCTION("""COMPUTED_VALUE"""),15)</f>
        <v>15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>
      <c r="A20" s="2">
        <f ca="1">IFERROR(__xludf.DUMMYFUNCTION("""COMPUTED_VALUE"""),28)</f>
        <v>28</v>
      </c>
      <c r="B20" s="2" t="str">
        <f ca="1">IFERROR(__xludf.DUMMYFUNCTION("""COMPUTED_VALUE"""),"Elmet")</f>
        <v>Elmet</v>
      </c>
      <c r="C20" s="2" t="str">
        <f ca="1">IFERROR(__xludf.DUMMYFUNCTION("""COMPUTED_VALUE"""),"Orasson")</f>
        <v>Orasson</v>
      </c>
      <c r="D20" s="2">
        <f ca="1">IFERROR(__xludf.DUMMYFUNCTION("""COMPUTED_VALUE"""),243)</f>
        <v>243</v>
      </c>
      <c r="E20" s="2">
        <f ca="1">IFERROR(__xludf.DUMMYFUNCTION("""COMPUTED_VALUE"""),259)</f>
        <v>259</v>
      </c>
      <c r="F20" s="2">
        <f ca="1">IFERROR(__xludf.DUMMYFUNCTION("""COMPUTED_VALUE"""),232)</f>
        <v>232</v>
      </c>
      <c r="G20" s="2">
        <f ca="1">IFERROR(__xludf.DUMMYFUNCTION("""COMPUTED_VALUE"""),734)</f>
        <v>734</v>
      </c>
      <c r="H20" s="2">
        <f ca="1">IFERROR(__xludf.DUMMYFUNCTION("""COMPUTED_VALUE"""),16)</f>
        <v>16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>
      <c r="A21" s="2">
        <f ca="1">IFERROR(__xludf.DUMMYFUNCTION("""COMPUTED_VALUE"""),58)</f>
        <v>58</v>
      </c>
      <c r="B21" s="2" t="str">
        <f ca="1">IFERROR(__xludf.DUMMYFUNCTION("""COMPUTED_VALUE"""),"Veiko")</f>
        <v>Veiko</v>
      </c>
      <c r="C21" s="2" t="str">
        <f ca="1">IFERROR(__xludf.DUMMYFUNCTION("""COMPUTED_VALUE"""),"Virunurm")</f>
        <v>Virunurm</v>
      </c>
      <c r="D21" s="2">
        <f ca="1">IFERROR(__xludf.DUMMYFUNCTION("""COMPUTED_VALUE"""),247)</f>
        <v>247</v>
      </c>
      <c r="E21" s="2">
        <f ca="1">IFERROR(__xludf.DUMMYFUNCTION("""COMPUTED_VALUE"""),271)</f>
        <v>271</v>
      </c>
      <c r="F21" s="2">
        <f ca="1">IFERROR(__xludf.DUMMYFUNCTION("""COMPUTED_VALUE"""),216)</f>
        <v>216</v>
      </c>
      <c r="G21" s="2">
        <f ca="1">IFERROR(__xludf.DUMMYFUNCTION("""COMPUTED_VALUE"""),734)</f>
        <v>734</v>
      </c>
      <c r="H21" s="2">
        <f ca="1">IFERROR(__xludf.DUMMYFUNCTION("""COMPUTED_VALUE"""),16)</f>
        <v>16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>
      <c r="A22" s="2">
        <f ca="1">IFERROR(__xludf.DUMMYFUNCTION("""COMPUTED_VALUE"""),65)</f>
        <v>65</v>
      </c>
      <c r="B22" s="2" t="str">
        <f ca="1">IFERROR(__xludf.DUMMYFUNCTION("""COMPUTED_VALUE"""),"Daimar")</f>
        <v>Daimar</v>
      </c>
      <c r="C22" s="2" t="str">
        <f ca="1">IFERROR(__xludf.DUMMYFUNCTION("""COMPUTED_VALUE"""),"Elp")</f>
        <v>Elp</v>
      </c>
      <c r="D22" s="2">
        <f ca="1">IFERROR(__xludf.DUMMYFUNCTION("""COMPUTED_VALUE"""),268)</f>
        <v>268</v>
      </c>
      <c r="E22" s="2">
        <f ca="1">IFERROR(__xludf.DUMMYFUNCTION("""COMPUTED_VALUE"""),271)</f>
        <v>271</v>
      </c>
      <c r="F22" s="2">
        <f ca="1">IFERROR(__xludf.DUMMYFUNCTION("""COMPUTED_VALUE"""),194)</f>
        <v>194</v>
      </c>
      <c r="G22" s="2">
        <f ca="1">IFERROR(__xludf.DUMMYFUNCTION("""COMPUTED_VALUE"""),733)</f>
        <v>733</v>
      </c>
      <c r="H22" s="2">
        <f ca="1">IFERROR(__xludf.DUMMYFUNCTION("""COMPUTED_VALUE"""),18)</f>
        <v>18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>
      <c r="A23" s="2">
        <f ca="1">IFERROR(__xludf.DUMMYFUNCTION("""COMPUTED_VALUE"""),66)</f>
        <v>66</v>
      </c>
      <c r="B23" s="2" t="str">
        <f ca="1">IFERROR(__xludf.DUMMYFUNCTION("""COMPUTED_VALUE"""),"Andres")</f>
        <v>Andres</v>
      </c>
      <c r="C23" s="2" t="str">
        <f ca="1">IFERROR(__xludf.DUMMYFUNCTION("""COMPUTED_VALUE"""),"Tummeleht")</f>
        <v>Tummeleht</v>
      </c>
      <c r="D23" s="2">
        <f ca="1">IFERROR(__xludf.DUMMYFUNCTION("""COMPUTED_VALUE"""),277)</f>
        <v>277</v>
      </c>
      <c r="E23" s="2">
        <f ca="1">IFERROR(__xludf.DUMMYFUNCTION("""COMPUTED_VALUE"""),267)</f>
        <v>267</v>
      </c>
      <c r="F23" s="2">
        <f ca="1">IFERROR(__xludf.DUMMYFUNCTION("""COMPUTED_VALUE"""),186)</f>
        <v>186</v>
      </c>
      <c r="G23" s="2">
        <f ca="1">IFERROR(__xludf.DUMMYFUNCTION("""COMPUTED_VALUE"""),730)</f>
        <v>730</v>
      </c>
      <c r="H23" s="2">
        <f ca="1">IFERROR(__xludf.DUMMYFUNCTION("""COMPUTED_VALUE"""),19)</f>
        <v>19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">
      <c r="A24" s="2">
        <f ca="1">IFERROR(__xludf.DUMMYFUNCTION("""COMPUTED_VALUE"""),36)</f>
        <v>36</v>
      </c>
      <c r="B24" s="2" t="str">
        <f ca="1">IFERROR(__xludf.DUMMYFUNCTION("""COMPUTED_VALUE"""),"Rasmus")</f>
        <v>Rasmus</v>
      </c>
      <c r="C24" s="2" t="str">
        <f ca="1">IFERROR(__xludf.DUMMYFUNCTION("""COMPUTED_VALUE"""),"Ruusmäe")</f>
        <v>Ruusmäe</v>
      </c>
      <c r="D24" s="2">
        <f ca="1">IFERROR(__xludf.DUMMYFUNCTION("""COMPUTED_VALUE"""),262)</f>
        <v>262</v>
      </c>
      <c r="E24" s="2">
        <f ca="1">IFERROR(__xludf.DUMMYFUNCTION("""COMPUTED_VALUE"""),249)</f>
        <v>249</v>
      </c>
      <c r="F24" s="2">
        <f ca="1">IFERROR(__xludf.DUMMYFUNCTION("""COMPUTED_VALUE"""),214)</f>
        <v>214</v>
      </c>
      <c r="G24" s="2">
        <f ca="1">IFERROR(__xludf.DUMMYFUNCTION("""COMPUTED_VALUE"""),725)</f>
        <v>725</v>
      </c>
      <c r="H24" s="2">
        <f ca="1">IFERROR(__xludf.DUMMYFUNCTION("""COMPUTED_VALUE"""),20)</f>
        <v>20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>
      <c r="A25" s="2">
        <f ca="1">IFERROR(__xludf.DUMMYFUNCTION("""COMPUTED_VALUE"""),91)</f>
        <v>91</v>
      </c>
      <c r="B25" s="2" t="str">
        <f ca="1">IFERROR(__xludf.DUMMYFUNCTION("""COMPUTED_VALUE"""),"Siim")</f>
        <v>Siim</v>
      </c>
      <c r="C25" s="2" t="str">
        <f ca="1">IFERROR(__xludf.DUMMYFUNCTION("""COMPUTED_VALUE"""),"Jeeberg")</f>
        <v>Jeeberg</v>
      </c>
      <c r="D25" s="2">
        <f ca="1">IFERROR(__xludf.DUMMYFUNCTION("""COMPUTED_VALUE"""),175)</f>
        <v>175</v>
      </c>
      <c r="E25" s="2">
        <f ca="1">IFERROR(__xludf.DUMMYFUNCTION("""COMPUTED_VALUE"""),280)</f>
        <v>280</v>
      </c>
      <c r="F25" s="2">
        <f ca="1">IFERROR(__xludf.DUMMYFUNCTION("""COMPUTED_VALUE"""),264)</f>
        <v>264</v>
      </c>
      <c r="G25" s="2">
        <f ca="1">IFERROR(__xludf.DUMMYFUNCTION("""COMPUTED_VALUE"""),719)</f>
        <v>719</v>
      </c>
      <c r="H25" s="2">
        <f ca="1">IFERROR(__xludf.DUMMYFUNCTION("""COMPUTED_VALUE"""),21)</f>
        <v>21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>
      <c r="A26" s="2">
        <f ca="1">IFERROR(__xludf.DUMMYFUNCTION("""COMPUTED_VALUE"""),97)</f>
        <v>97</v>
      </c>
      <c r="B26" s="2" t="str">
        <f ca="1">IFERROR(__xludf.DUMMYFUNCTION("""COMPUTED_VALUE"""),"Patrick")</f>
        <v>Patrick</v>
      </c>
      <c r="C26" s="2" t="str">
        <f ca="1">IFERROR(__xludf.DUMMYFUNCTION("""COMPUTED_VALUE"""),"Madar")</f>
        <v>Madar</v>
      </c>
      <c r="D26" s="2">
        <f ca="1">IFERROR(__xludf.DUMMYFUNCTION("""COMPUTED_VALUE"""),219)</f>
        <v>219</v>
      </c>
      <c r="E26" s="2">
        <f ca="1">IFERROR(__xludf.DUMMYFUNCTION("""COMPUTED_VALUE"""),266)</f>
        <v>266</v>
      </c>
      <c r="F26" s="2">
        <f ca="1">IFERROR(__xludf.DUMMYFUNCTION("""COMPUTED_VALUE"""),230)</f>
        <v>230</v>
      </c>
      <c r="G26" s="2">
        <f ca="1">IFERROR(__xludf.DUMMYFUNCTION("""COMPUTED_VALUE"""),715)</f>
        <v>715</v>
      </c>
      <c r="H26" s="2">
        <f ca="1">IFERROR(__xludf.DUMMYFUNCTION("""COMPUTED_VALUE"""),22)</f>
        <v>22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>
      <c r="A27" s="2">
        <f ca="1">IFERROR(__xludf.DUMMYFUNCTION("""COMPUTED_VALUE"""),100)</f>
        <v>100</v>
      </c>
      <c r="B27" s="2" t="str">
        <f ca="1">IFERROR(__xludf.DUMMYFUNCTION("""COMPUTED_VALUE"""),"Tambet")</f>
        <v>Tambet</v>
      </c>
      <c r="C27" s="2" t="str">
        <f ca="1">IFERROR(__xludf.DUMMYFUNCTION("""COMPUTED_VALUE"""),"Leinbock")</f>
        <v>Leinbock</v>
      </c>
      <c r="D27" s="2">
        <f ca="1">IFERROR(__xludf.DUMMYFUNCTION("""COMPUTED_VALUE"""),237)</f>
        <v>237</v>
      </c>
      <c r="E27" s="2">
        <f ca="1">IFERROR(__xludf.DUMMYFUNCTION("""COMPUTED_VALUE"""),267)</f>
        <v>267</v>
      </c>
      <c r="F27" s="2">
        <f ca="1">IFERROR(__xludf.DUMMYFUNCTION("""COMPUTED_VALUE"""),210)</f>
        <v>210</v>
      </c>
      <c r="G27" s="2">
        <f ca="1">IFERROR(__xludf.DUMMYFUNCTION("""COMPUTED_VALUE"""),714)</f>
        <v>714</v>
      </c>
      <c r="H27" s="2">
        <f ca="1">IFERROR(__xludf.DUMMYFUNCTION("""COMPUTED_VALUE"""),23)</f>
        <v>23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>
      <c r="A28" s="2">
        <f ca="1">IFERROR(__xludf.DUMMYFUNCTION("""COMPUTED_VALUE"""),120)</f>
        <v>120</v>
      </c>
      <c r="B28" s="2" t="str">
        <f ca="1">IFERROR(__xludf.DUMMYFUNCTION("""COMPUTED_VALUE"""),"Priit")</f>
        <v>Priit</v>
      </c>
      <c r="C28" s="2" t="str">
        <f ca="1">IFERROR(__xludf.DUMMYFUNCTION("""COMPUTED_VALUE"""),"Avarmaa")</f>
        <v>Avarmaa</v>
      </c>
      <c r="D28" s="2">
        <f ca="1">IFERROR(__xludf.DUMMYFUNCTION("""COMPUTED_VALUE"""),229)</f>
        <v>229</v>
      </c>
      <c r="E28" s="2">
        <f ca="1">IFERROR(__xludf.DUMMYFUNCTION("""COMPUTED_VALUE"""),246)</f>
        <v>246</v>
      </c>
      <c r="F28" s="2">
        <f ca="1">IFERROR(__xludf.DUMMYFUNCTION("""COMPUTED_VALUE"""),235)</f>
        <v>235</v>
      </c>
      <c r="G28" s="2">
        <f ca="1">IFERROR(__xludf.DUMMYFUNCTION("""COMPUTED_VALUE"""),710)</f>
        <v>710</v>
      </c>
      <c r="H28" s="2">
        <f ca="1">IFERROR(__xludf.DUMMYFUNCTION("""COMPUTED_VALUE"""),24)</f>
        <v>24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">
      <c r="A29" s="2">
        <f ca="1">IFERROR(__xludf.DUMMYFUNCTION("""COMPUTED_VALUE"""),127)</f>
        <v>127</v>
      </c>
      <c r="B29" s="2" t="str">
        <f ca="1">IFERROR(__xludf.DUMMYFUNCTION("""COMPUTED_VALUE"""),"Ingrit")</f>
        <v>Ingrit</v>
      </c>
      <c r="C29" s="2" t="str">
        <f ca="1">IFERROR(__xludf.DUMMYFUNCTION("""COMPUTED_VALUE"""),"Allas")</f>
        <v>Allas</v>
      </c>
      <c r="D29" s="2">
        <f ca="1">IFERROR(__xludf.DUMMYFUNCTION("""COMPUTED_VALUE"""),230)</f>
        <v>230</v>
      </c>
      <c r="E29" s="2">
        <f ca="1">IFERROR(__xludf.DUMMYFUNCTION("""COMPUTED_VALUE"""),266)</f>
        <v>266</v>
      </c>
      <c r="F29" s="2">
        <f ca="1">IFERROR(__xludf.DUMMYFUNCTION("""COMPUTED_VALUE"""),208)</f>
        <v>208</v>
      </c>
      <c r="G29" s="2">
        <f ca="1">IFERROR(__xludf.DUMMYFUNCTION("""COMPUTED_VALUE"""),704)</f>
        <v>704</v>
      </c>
      <c r="H29" s="2">
        <f ca="1">IFERROR(__xludf.DUMMYFUNCTION("""COMPUTED_VALUE"""),25)</f>
        <v>25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>
      <c r="A30" s="2">
        <f ca="1">IFERROR(__xludf.DUMMYFUNCTION("""COMPUTED_VALUE"""),8)</f>
        <v>8</v>
      </c>
      <c r="B30" s="2" t="str">
        <f ca="1">IFERROR(__xludf.DUMMYFUNCTION("""COMPUTED_VALUE"""),"Riho")</f>
        <v>Riho</v>
      </c>
      <c r="C30" s="2" t="str">
        <f ca="1">IFERROR(__xludf.DUMMYFUNCTION("""COMPUTED_VALUE"""),"Ühtegi")</f>
        <v>Ühtegi</v>
      </c>
      <c r="D30" s="2">
        <f ca="1">IFERROR(__xludf.DUMMYFUNCTION("""COMPUTED_VALUE"""),221)</f>
        <v>221</v>
      </c>
      <c r="E30" s="2">
        <f ca="1">IFERROR(__xludf.DUMMYFUNCTION("""COMPUTED_VALUE"""),255)</f>
        <v>255</v>
      </c>
      <c r="F30" s="2">
        <f ca="1">IFERROR(__xludf.DUMMYFUNCTION("""COMPUTED_VALUE"""),215)</f>
        <v>215</v>
      </c>
      <c r="G30" s="2">
        <f ca="1">IFERROR(__xludf.DUMMYFUNCTION("""COMPUTED_VALUE"""),691)</f>
        <v>691</v>
      </c>
      <c r="H30" s="2">
        <f ca="1">IFERROR(__xludf.DUMMYFUNCTION("""COMPUTED_VALUE"""),26)</f>
        <v>26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>
      <c r="A31" s="2">
        <f ca="1">IFERROR(__xludf.DUMMYFUNCTION("""COMPUTED_VALUE"""),60)</f>
        <v>60</v>
      </c>
      <c r="B31" s="2" t="str">
        <f ca="1">IFERROR(__xludf.DUMMYFUNCTION("""COMPUTED_VALUE"""),"Jaanus")</f>
        <v>Jaanus</v>
      </c>
      <c r="C31" s="2" t="str">
        <f ca="1">IFERROR(__xludf.DUMMYFUNCTION("""COMPUTED_VALUE"""),"Kala")</f>
        <v>Kala</v>
      </c>
      <c r="D31" s="2">
        <f ca="1">IFERROR(__xludf.DUMMYFUNCTION("""COMPUTED_VALUE"""),241)</f>
        <v>241</v>
      </c>
      <c r="E31" s="2">
        <f ca="1">IFERROR(__xludf.DUMMYFUNCTION("""COMPUTED_VALUE"""),259)</f>
        <v>259</v>
      </c>
      <c r="F31" s="2">
        <f ca="1">IFERROR(__xludf.DUMMYFUNCTION("""COMPUTED_VALUE"""),186)</f>
        <v>186</v>
      </c>
      <c r="G31" s="2">
        <f ca="1">IFERROR(__xludf.DUMMYFUNCTION("""COMPUTED_VALUE"""),686)</f>
        <v>686</v>
      </c>
      <c r="H31" s="2">
        <f ca="1">IFERROR(__xludf.DUMMYFUNCTION("""COMPUTED_VALUE"""),27)</f>
        <v>27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>
      <c r="A32" s="2">
        <f ca="1">IFERROR(__xludf.DUMMYFUNCTION("""COMPUTED_VALUE"""),64)</f>
        <v>64</v>
      </c>
      <c r="B32" s="2" t="str">
        <f ca="1">IFERROR(__xludf.DUMMYFUNCTION("""COMPUTED_VALUE"""),"Liis")</f>
        <v>Liis</v>
      </c>
      <c r="C32" s="2" t="str">
        <f ca="1">IFERROR(__xludf.DUMMYFUNCTION("""COMPUTED_VALUE"""),"Kruuse")</f>
        <v>Kruuse</v>
      </c>
      <c r="D32" s="2">
        <f ca="1">IFERROR(__xludf.DUMMYFUNCTION("""COMPUTED_VALUE"""),208)</f>
        <v>208</v>
      </c>
      <c r="E32" s="2">
        <f ca="1">IFERROR(__xludf.DUMMYFUNCTION("""COMPUTED_VALUE"""),259)</f>
        <v>259</v>
      </c>
      <c r="F32" s="2">
        <f ca="1">IFERROR(__xludf.DUMMYFUNCTION("""COMPUTED_VALUE"""),214)</f>
        <v>214</v>
      </c>
      <c r="G32" s="2">
        <f ca="1">IFERROR(__xludf.DUMMYFUNCTION("""COMPUTED_VALUE"""),681)</f>
        <v>681</v>
      </c>
      <c r="H32" s="2">
        <f ca="1">IFERROR(__xludf.DUMMYFUNCTION("""COMPUTED_VALUE"""),28)</f>
        <v>28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>
      <c r="A33" s="2">
        <f ca="1">IFERROR(__xludf.DUMMYFUNCTION("""COMPUTED_VALUE"""),59)</f>
        <v>59</v>
      </c>
      <c r="B33" s="2" t="str">
        <f ca="1">IFERROR(__xludf.DUMMYFUNCTION("""COMPUTED_VALUE"""),"Rivo")</f>
        <v>Rivo</v>
      </c>
      <c r="C33" s="2" t="str">
        <f ca="1">IFERROR(__xludf.DUMMYFUNCTION("""COMPUTED_VALUE"""),"Poltimäe")</f>
        <v>Poltimäe</v>
      </c>
      <c r="D33" s="2">
        <f ca="1">IFERROR(__xludf.DUMMYFUNCTION("""COMPUTED_VALUE"""),230)</f>
        <v>230</v>
      </c>
      <c r="E33" s="2">
        <f ca="1">IFERROR(__xludf.DUMMYFUNCTION("""COMPUTED_VALUE"""),267)</f>
        <v>267</v>
      </c>
      <c r="F33" s="2">
        <f ca="1">IFERROR(__xludf.DUMMYFUNCTION("""COMPUTED_VALUE"""),183)</f>
        <v>183</v>
      </c>
      <c r="G33" s="2">
        <f ca="1">IFERROR(__xludf.DUMMYFUNCTION("""COMPUTED_VALUE"""),680)</f>
        <v>680</v>
      </c>
      <c r="H33" s="2">
        <f ca="1">IFERROR(__xludf.DUMMYFUNCTION("""COMPUTED_VALUE"""),29)</f>
        <v>29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">
      <c r="A34" s="2">
        <f ca="1">IFERROR(__xludf.DUMMYFUNCTION("""COMPUTED_VALUE"""),19)</f>
        <v>19</v>
      </c>
      <c r="B34" s="2" t="str">
        <f ca="1">IFERROR(__xludf.DUMMYFUNCTION("""COMPUTED_VALUE"""),"Kaur Mihkel")</f>
        <v>Kaur Mihkel</v>
      </c>
      <c r="C34" s="2" t="str">
        <f ca="1">IFERROR(__xludf.DUMMYFUNCTION("""COMPUTED_VALUE"""),"Toomse")</f>
        <v>Toomse</v>
      </c>
      <c r="D34" s="2">
        <f ca="1">IFERROR(__xludf.DUMMYFUNCTION("""COMPUTED_VALUE"""),241)</f>
        <v>241</v>
      </c>
      <c r="E34" s="2">
        <f ca="1">IFERROR(__xludf.DUMMYFUNCTION("""COMPUTED_VALUE"""),208)</f>
        <v>208</v>
      </c>
      <c r="F34" s="2">
        <f ca="1">IFERROR(__xludf.DUMMYFUNCTION("""COMPUTED_VALUE"""),216)</f>
        <v>216</v>
      </c>
      <c r="G34" s="2">
        <f ca="1">IFERROR(__xludf.DUMMYFUNCTION("""COMPUTED_VALUE"""),665)</f>
        <v>665</v>
      </c>
      <c r="H34" s="2">
        <f ca="1">IFERROR(__xludf.DUMMYFUNCTION("""COMPUTED_VALUE"""),30)</f>
        <v>30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">
      <c r="A35" s="2">
        <f ca="1">IFERROR(__xludf.DUMMYFUNCTION("""COMPUTED_VALUE"""),68)</f>
        <v>68</v>
      </c>
      <c r="B35" s="2" t="str">
        <f ca="1">IFERROR(__xludf.DUMMYFUNCTION("""COMPUTED_VALUE"""),"Olev")</f>
        <v>Olev</v>
      </c>
      <c r="C35" s="2" t="str">
        <f ca="1">IFERROR(__xludf.DUMMYFUNCTION("""COMPUTED_VALUE"""),"Lomp")</f>
        <v>Lomp</v>
      </c>
      <c r="D35" s="2">
        <f ca="1">IFERROR(__xludf.DUMMYFUNCTION("""COMPUTED_VALUE"""),186)</f>
        <v>186</v>
      </c>
      <c r="E35" s="2">
        <f ca="1">IFERROR(__xludf.DUMMYFUNCTION("""COMPUTED_VALUE"""),254)</f>
        <v>254</v>
      </c>
      <c r="F35" s="2">
        <f ca="1">IFERROR(__xludf.DUMMYFUNCTION("""COMPUTED_VALUE"""),210)</f>
        <v>210</v>
      </c>
      <c r="G35" s="2">
        <f ca="1">IFERROR(__xludf.DUMMYFUNCTION("""COMPUTED_VALUE"""),650)</f>
        <v>650</v>
      </c>
      <c r="H35" s="2">
        <f ca="1">IFERROR(__xludf.DUMMYFUNCTION("""COMPUTED_VALUE"""),31)</f>
        <v>31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>
      <c r="A36" s="2">
        <f ca="1">IFERROR(__xludf.DUMMYFUNCTION("""COMPUTED_VALUE"""),92)</f>
        <v>92</v>
      </c>
      <c r="B36" s="2" t="str">
        <f ca="1">IFERROR(__xludf.DUMMYFUNCTION("""COMPUTED_VALUE"""),"Marko")</f>
        <v>Marko</v>
      </c>
      <c r="C36" s="2" t="str">
        <f ca="1">IFERROR(__xludf.DUMMYFUNCTION("""COMPUTED_VALUE"""),"Ender")</f>
        <v>Ender</v>
      </c>
      <c r="D36" s="2">
        <f ca="1">IFERROR(__xludf.DUMMYFUNCTION("""COMPUTED_VALUE"""),196)</f>
        <v>196</v>
      </c>
      <c r="E36" s="2">
        <f ca="1">IFERROR(__xludf.DUMMYFUNCTION("""COMPUTED_VALUE"""),240)</f>
        <v>240</v>
      </c>
      <c r="F36" s="2">
        <f ca="1">IFERROR(__xludf.DUMMYFUNCTION("""COMPUTED_VALUE"""),214)</f>
        <v>214</v>
      </c>
      <c r="G36" s="2">
        <f ca="1">IFERROR(__xludf.DUMMYFUNCTION("""COMPUTED_VALUE"""),650)</f>
        <v>650</v>
      </c>
      <c r="H36" s="2">
        <f ca="1">IFERROR(__xludf.DUMMYFUNCTION("""COMPUTED_VALUE"""),31)</f>
        <v>31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>
      <c r="A37" s="2">
        <f ca="1">IFERROR(__xludf.DUMMYFUNCTION("""COMPUTED_VALUE"""),10)</f>
        <v>10</v>
      </c>
      <c r="B37" s="2" t="str">
        <f ca="1">IFERROR(__xludf.DUMMYFUNCTION("""COMPUTED_VALUE"""),"Tõnis")</f>
        <v>Tõnis</v>
      </c>
      <c r="C37" s="2" t="str">
        <f ca="1">IFERROR(__xludf.DUMMYFUNCTION("""COMPUTED_VALUE"""),"Metjer")</f>
        <v>Metjer</v>
      </c>
      <c r="D37" s="2">
        <f ca="1">IFERROR(__xludf.DUMMYFUNCTION("""COMPUTED_VALUE"""),260)</f>
        <v>260</v>
      </c>
      <c r="E37" s="2">
        <f ca="1">IFERROR(__xludf.DUMMYFUNCTION("""COMPUTED_VALUE"""),246)</f>
        <v>246</v>
      </c>
      <c r="F37" s="2">
        <f ca="1">IFERROR(__xludf.DUMMYFUNCTION("""COMPUTED_VALUE"""),130)</f>
        <v>130</v>
      </c>
      <c r="G37" s="2">
        <f ca="1">IFERROR(__xludf.DUMMYFUNCTION("""COMPUTED_VALUE"""),636)</f>
        <v>636</v>
      </c>
      <c r="H37" s="2">
        <f ca="1">IFERROR(__xludf.DUMMYFUNCTION("""COMPUTED_VALUE"""),33)</f>
        <v>33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>
      <c r="A38" s="2">
        <f ca="1">IFERROR(__xludf.DUMMYFUNCTION("""COMPUTED_VALUE"""),111)</f>
        <v>111</v>
      </c>
      <c r="B38" s="2" t="str">
        <f ca="1">IFERROR(__xludf.DUMMYFUNCTION("""COMPUTED_VALUE"""),"Tõnu")</f>
        <v>Tõnu</v>
      </c>
      <c r="C38" s="2" t="str">
        <f ca="1">IFERROR(__xludf.DUMMYFUNCTION("""COMPUTED_VALUE"""),"Kibena")</f>
        <v>Kibena</v>
      </c>
      <c r="D38" s="2">
        <f ca="1">IFERROR(__xludf.DUMMYFUNCTION("""COMPUTED_VALUE"""),228)</f>
        <v>228</v>
      </c>
      <c r="E38" s="2">
        <f ca="1">IFERROR(__xludf.DUMMYFUNCTION("""COMPUTED_VALUE"""),244)</f>
        <v>244</v>
      </c>
      <c r="F38" s="2">
        <f ca="1">IFERROR(__xludf.DUMMYFUNCTION("""COMPUTED_VALUE"""),144)</f>
        <v>144</v>
      </c>
      <c r="G38" s="2">
        <f ca="1">IFERROR(__xludf.DUMMYFUNCTION("""COMPUTED_VALUE"""),616)</f>
        <v>616</v>
      </c>
      <c r="H38" s="2">
        <f ca="1">IFERROR(__xludf.DUMMYFUNCTION("""COMPUTED_VALUE"""),34)</f>
        <v>34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">
      <c r="A39" s="2">
        <f ca="1">IFERROR(__xludf.DUMMYFUNCTION("""COMPUTED_VALUE"""),9)</f>
        <v>9</v>
      </c>
      <c r="B39" s="2" t="str">
        <f ca="1">IFERROR(__xludf.DUMMYFUNCTION("""COMPUTED_VALUE"""),"Allan")</f>
        <v>Allan</v>
      </c>
      <c r="C39" s="2" t="str">
        <f ca="1">IFERROR(__xludf.DUMMYFUNCTION("""COMPUTED_VALUE"""),"Kalju")</f>
        <v>Kalju</v>
      </c>
      <c r="D39" s="2">
        <f ca="1">IFERROR(__xludf.DUMMYFUNCTION("""COMPUTED_VALUE"""),198)</f>
        <v>198</v>
      </c>
      <c r="E39" s="2">
        <f ca="1">IFERROR(__xludf.DUMMYFUNCTION("""COMPUTED_VALUE"""),225)</f>
        <v>225</v>
      </c>
      <c r="F39" s="2">
        <f ca="1">IFERROR(__xludf.DUMMYFUNCTION("""COMPUTED_VALUE"""),163)</f>
        <v>163</v>
      </c>
      <c r="G39" s="2">
        <f ca="1">IFERROR(__xludf.DUMMYFUNCTION("""COMPUTED_VALUE"""),586)</f>
        <v>586</v>
      </c>
      <c r="H39" s="2">
        <f ca="1">IFERROR(__xludf.DUMMYFUNCTION("""COMPUTED_VALUE"""),35)</f>
        <v>35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">
      <c r="A40" s="2">
        <f ca="1">IFERROR(__xludf.DUMMYFUNCTION("""COMPUTED_VALUE"""),83)</f>
        <v>83</v>
      </c>
      <c r="B40" s="2" t="str">
        <f ca="1">IFERROR(__xludf.DUMMYFUNCTION("""COMPUTED_VALUE"""),"Andero")</f>
        <v>Andero</v>
      </c>
      <c r="C40" s="2" t="str">
        <f ca="1">IFERROR(__xludf.DUMMYFUNCTION("""COMPUTED_VALUE"""),"Laurits")</f>
        <v>Laurits</v>
      </c>
      <c r="D40" s="2">
        <f ca="1">IFERROR(__xludf.DUMMYFUNCTION("""COMPUTED_VALUE"""),275)</f>
        <v>275</v>
      </c>
      <c r="E40" s="2">
        <f ca="1">IFERROR(__xludf.DUMMYFUNCTION("""COMPUTED_VALUE"""),276)</f>
        <v>276</v>
      </c>
      <c r="F40" s="2">
        <f ca="1">IFERROR(__xludf.DUMMYFUNCTION("""COMPUTED_VALUE"""),0)</f>
        <v>0</v>
      </c>
      <c r="G40" s="2">
        <f ca="1">IFERROR(__xludf.DUMMYFUNCTION("""COMPUTED_VALUE"""),551)</f>
        <v>551</v>
      </c>
      <c r="H40" s="2">
        <f ca="1">IFERROR(__xludf.DUMMYFUNCTION("""COMPUTED_VALUE"""),36)</f>
        <v>36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">
      <c r="A41" s="2">
        <f ca="1">IFERROR(__xludf.DUMMYFUNCTION("""COMPUTED_VALUE"""),128)</f>
        <v>128</v>
      </c>
      <c r="B41" s="2" t="str">
        <f ca="1">IFERROR(__xludf.DUMMYFUNCTION("""COMPUTED_VALUE"""),"Marge")</f>
        <v>Marge</v>
      </c>
      <c r="C41" s="2" t="str">
        <f ca="1">IFERROR(__xludf.DUMMYFUNCTION("""COMPUTED_VALUE"""),"Ulm")</f>
        <v>Ulm</v>
      </c>
      <c r="D41" s="2">
        <f ca="1">IFERROR(__xludf.DUMMYFUNCTION("""COMPUTED_VALUE"""),191)</f>
        <v>191</v>
      </c>
      <c r="E41" s="2">
        <f ca="1">IFERROR(__xludf.DUMMYFUNCTION("""COMPUTED_VALUE"""),217)</f>
        <v>217</v>
      </c>
      <c r="F41" s="2">
        <f ca="1">IFERROR(__xludf.DUMMYFUNCTION("""COMPUTED_VALUE"""),142)</f>
        <v>142</v>
      </c>
      <c r="G41" s="2">
        <f ca="1">IFERROR(__xludf.DUMMYFUNCTION("""COMPUTED_VALUE"""),550)</f>
        <v>550</v>
      </c>
      <c r="H41" s="2">
        <f ca="1">IFERROR(__xludf.DUMMYFUNCTION("""COMPUTED_VALUE"""),37)</f>
        <v>37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">
      <c r="A42" s="2">
        <f ca="1">IFERROR(__xludf.DUMMYFUNCTION("""COMPUTED_VALUE"""),55)</f>
        <v>55</v>
      </c>
      <c r="B42" s="2" t="str">
        <f ca="1">IFERROR(__xludf.DUMMYFUNCTION("""COMPUTED_VALUE"""),"Allar")</f>
        <v>Allar</v>
      </c>
      <c r="C42" s="2" t="str">
        <f ca="1">IFERROR(__xludf.DUMMYFUNCTION("""COMPUTED_VALUE"""),"Mürk")</f>
        <v>Mürk</v>
      </c>
      <c r="D42" s="2">
        <f ca="1">IFERROR(__xludf.DUMMYFUNCTION("""COMPUTED_VALUE"""),284)</f>
        <v>284</v>
      </c>
      <c r="E42" s="2">
        <f ca="1">IFERROR(__xludf.DUMMYFUNCTION("""COMPUTED_VALUE"""),265)</f>
        <v>265</v>
      </c>
      <c r="F42" s="2">
        <f ca="1">IFERROR(__xludf.DUMMYFUNCTION("""COMPUTED_VALUE"""),0)</f>
        <v>0</v>
      </c>
      <c r="G42" s="2">
        <f ca="1">IFERROR(__xludf.DUMMYFUNCTION("""COMPUTED_VALUE"""),549)</f>
        <v>549</v>
      </c>
      <c r="H42" s="2">
        <f ca="1">IFERROR(__xludf.DUMMYFUNCTION("""COMPUTED_VALUE"""),38)</f>
        <v>38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">
      <c r="A43" s="2">
        <f ca="1">IFERROR(__xludf.DUMMYFUNCTION("""COMPUTED_VALUE"""),71)</f>
        <v>71</v>
      </c>
      <c r="B43" s="2" t="str">
        <f ca="1">IFERROR(__xludf.DUMMYFUNCTION("""COMPUTED_VALUE"""),"Aleksei")</f>
        <v>Aleksei</v>
      </c>
      <c r="C43" s="2" t="str">
        <f ca="1">IFERROR(__xludf.DUMMYFUNCTION("""COMPUTED_VALUE"""),"Osokin")</f>
        <v>Osokin</v>
      </c>
      <c r="D43" s="2">
        <f ca="1">IFERROR(__xludf.DUMMYFUNCTION("""COMPUTED_VALUE"""),272)</f>
        <v>272</v>
      </c>
      <c r="E43" s="2">
        <f ca="1">IFERROR(__xludf.DUMMYFUNCTION("""COMPUTED_VALUE"""),277)</f>
        <v>277</v>
      </c>
      <c r="F43" s="2">
        <f ca="1">IFERROR(__xludf.DUMMYFUNCTION("""COMPUTED_VALUE"""),0)</f>
        <v>0</v>
      </c>
      <c r="G43" s="2">
        <f ca="1">IFERROR(__xludf.DUMMYFUNCTION("""COMPUTED_VALUE"""),549)</f>
        <v>549</v>
      </c>
      <c r="H43" s="2">
        <f ca="1">IFERROR(__xludf.DUMMYFUNCTION("""COMPUTED_VALUE"""),38)</f>
        <v>38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">
      <c r="A44" s="2">
        <f ca="1">IFERROR(__xludf.DUMMYFUNCTION("""COMPUTED_VALUE"""),185)</f>
        <v>185</v>
      </c>
      <c r="B44" s="2" t="str">
        <f ca="1">IFERROR(__xludf.DUMMYFUNCTION("""COMPUTED_VALUE"""),"Janno")</f>
        <v>Janno</v>
      </c>
      <c r="C44" s="2" t="str">
        <f ca="1">IFERROR(__xludf.DUMMYFUNCTION("""COMPUTED_VALUE"""),"Märk")</f>
        <v>Märk</v>
      </c>
      <c r="D44" s="2">
        <f ca="1">IFERROR(__xludf.DUMMYFUNCTION("""COMPUTED_VALUE"""),271)</f>
        <v>271</v>
      </c>
      <c r="E44" s="2">
        <f ca="1">IFERROR(__xludf.DUMMYFUNCTION("""COMPUTED_VALUE"""),273)</f>
        <v>273</v>
      </c>
      <c r="F44" s="2" t="str">
        <f ca="1">IFERROR(__xludf.DUMMYFUNCTION("""COMPUTED_VALUE"""),"")</f>
        <v/>
      </c>
      <c r="G44" s="2">
        <f ca="1">IFERROR(__xludf.DUMMYFUNCTION("""COMPUTED_VALUE"""),544)</f>
        <v>544</v>
      </c>
      <c r="H44" s="2">
        <f ca="1">IFERROR(__xludf.DUMMYFUNCTION("""COMPUTED_VALUE"""),40)</f>
        <v>40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">
      <c r="A45" s="2">
        <f ca="1">IFERROR(__xludf.DUMMYFUNCTION("""COMPUTED_VALUE"""),116)</f>
        <v>116</v>
      </c>
      <c r="B45" s="2" t="str">
        <f ca="1">IFERROR(__xludf.DUMMYFUNCTION("""COMPUTED_VALUE"""),"Aare")</f>
        <v>Aare</v>
      </c>
      <c r="C45" s="2" t="str">
        <f ca="1">IFERROR(__xludf.DUMMYFUNCTION("""COMPUTED_VALUE"""),"Väliste")</f>
        <v>Väliste</v>
      </c>
      <c r="D45" s="2">
        <f ca="1">IFERROR(__xludf.DUMMYFUNCTION("""COMPUTED_VALUE"""),259)</f>
        <v>259</v>
      </c>
      <c r="E45" s="2">
        <f ca="1">IFERROR(__xludf.DUMMYFUNCTION("""COMPUTED_VALUE"""),282)</f>
        <v>282</v>
      </c>
      <c r="F45" s="2">
        <f ca="1">IFERROR(__xludf.DUMMYFUNCTION("""COMPUTED_VALUE"""),0)</f>
        <v>0</v>
      </c>
      <c r="G45" s="2">
        <f ca="1">IFERROR(__xludf.DUMMYFUNCTION("""COMPUTED_VALUE"""),541)</f>
        <v>541</v>
      </c>
      <c r="H45" s="2">
        <f ca="1">IFERROR(__xludf.DUMMYFUNCTION("""COMPUTED_VALUE"""),41)</f>
        <v>41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">
      <c r="A46" s="2">
        <f ca="1">IFERROR(__xludf.DUMMYFUNCTION("""COMPUTED_VALUE"""),47)</f>
        <v>47</v>
      </c>
      <c r="B46" s="2" t="str">
        <f ca="1">IFERROR(__xludf.DUMMYFUNCTION("""COMPUTED_VALUE"""),"Kai ")</f>
        <v xml:space="preserve">Kai </v>
      </c>
      <c r="C46" s="2" t="str">
        <f ca="1">IFERROR(__xludf.DUMMYFUNCTION("""COMPUTED_VALUE"""),"Willadsen")</f>
        <v>Willadsen</v>
      </c>
      <c r="D46" s="2">
        <f ca="1">IFERROR(__xludf.DUMMYFUNCTION("""COMPUTED_VALUE"""),273)</f>
        <v>273</v>
      </c>
      <c r="E46" s="2">
        <f ca="1">IFERROR(__xludf.DUMMYFUNCTION("""COMPUTED_VALUE"""),261)</f>
        <v>261</v>
      </c>
      <c r="F46" s="2">
        <f ca="1">IFERROR(__xludf.DUMMYFUNCTION("""COMPUTED_VALUE"""),0)</f>
        <v>0</v>
      </c>
      <c r="G46" s="2">
        <f ca="1">IFERROR(__xludf.DUMMYFUNCTION("""COMPUTED_VALUE"""),534)</f>
        <v>534</v>
      </c>
      <c r="H46" s="2">
        <f ca="1">IFERROR(__xludf.DUMMYFUNCTION("""COMPUTED_VALUE"""),42)</f>
        <v>42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">
      <c r="A47" s="2">
        <f ca="1">IFERROR(__xludf.DUMMYFUNCTION("""COMPUTED_VALUE"""),87)</f>
        <v>87</v>
      </c>
      <c r="B47" s="2" t="str">
        <f ca="1">IFERROR(__xludf.DUMMYFUNCTION("""COMPUTED_VALUE"""),"Aleksandr")</f>
        <v>Aleksandr</v>
      </c>
      <c r="C47" s="2" t="str">
        <f ca="1">IFERROR(__xludf.DUMMYFUNCTION("""COMPUTED_VALUE"""),"Voronin")</f>
        <v>Voronin</v>
      </c>
      <c r="D47" s="2">
        <f ca="1">IFERROR(__xludf.DUMMYFUNCTION("""COMPUTED_VALUE"""),253)</f>
        <v>253</v>
      </c>
      <c r="E47" s="2">
        <f ca="1">IFERROR(__xludf.DUMMYFUNCTION("""COMPUTED_VALUE"""),281)</f>
        <v>281</v>
      </c>
      <c r="F47" s="2">
        <f ca="1">IFERROR(__xludf.DUMMYFUNCTION("""COMPUTED_VALUE"""),0)</f>
        <v>0</v>
      </c>
      <c r="G47" s="2">
        <f ca="1">IFERROR(__xludf.DUMMYFUNCTION("""COMPUTED_VALUE"""),534)</f>
        <v>534</v>
      </c>
      <c r="H47" s="2">
        <f ca="1">IFERROR(__xludf.DUMMYFUNCTION("""COMPUTED_VALUE"""),42)</f>
        <v>42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">
      <c r="A48" s="2">
        <f ca="1">IFERROR(__xludf.DUMMYFUNCTION("""COMPUTED_VALUE"""),129)</f>
        <v>129</v>
      </c>
      <c r="B48" s="2" t="str">
        <f ca="1">IFERROR(__xludf.DUMMYFUNCTION("""COMPUTED_VALUE"""),"Tambet")</f>
        <v>Tambet</v>
      </c>
      <c r="C48" s="2" t="str">
        <f ca="1">IFERROR(__xludf.DUMMYFUNCTION("""COMPUTED_VALUE"""),"Juht")</f>
        <v>Juht</v>
      </c>
      <c r="D48" s="2">
        <f ca="1">IFERROR(__xludf.DUMMYFUNCTION("""COMPUTED_VALUE"""),254)</f>
        <v>254</v>
      </c>
      <c r="E48" s="2">
        <f ca="1">IFERROR(__xludf.DUMMYFUNCTION("""COMPUTED_VALUE"""),274)</f>
        <v>274</v>
      </c>
      <c r="F48" s="2">
        <f ca="1">IFERROR(__xludf.DUMMYFUNCTION("""COMPUTED_VALUE"""),0)</f>
        <v>0</v>
      </c>
      <c r="G48" s="2">
        <f ca="1">IFERROR(__xludf.DUMMYFUNCTION("""COMPUTED_VALUE"""),528)</f>
        <v>528</v>
      </c>
      <c r="H48" s="2">
        <f ca="1">IFERROR(__xludf.DUMMYFUNCTION("""COMPUTED_VALUE"""),44)</f>
        <v>44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">
      <c r="A49" s="2">
        <f ca="1">IFERROR(__xludf.DUMMYFUNCTION("""COMPUTED_VALUE"""),29)</f>
        <v>29</v>
      </c>
      <c r="B49" s="2" t="str">
        <f ca="1">IFERROR(__xludf.DUMMYFUNCTION("""COMPUTED_VALUE"""),"Lauri")</f>
        <v>Lauri</v>
      </c>
      <c r="C49" s="2" t="str">
        <f ca="1">IFERROR(__xludf.DUMMYFUNCTION("""COMPUTED_VALUE"""),"Erm")</f>
        <v>Erm</v>
      </c>
      <c r="D49" s="2">
        <f ca="1">IFERROR(__xludf.DUMMYFUNCTION("""COMPUTED_VALUE"""),0)</f>
        <v>0</v>
      </c>
      <c r="E49" s="2">
        <f ca="1">IFERROR(__xludf.DUMMYFUNCTION("""COMPUTED_VALUE"""),273)</f>
        <v>273</v>
      </c>
      <c r="F49" s="2">
        <f ca="1">IFERROR(__xludf.DUMMYFUNCTION("""COMPUTED_VALUE"""),253)</f>
        <v>253</v>
      </c>
      <c r="G49" s="2">
        <f ca="1">IFERROR(__xludf.DUMMYFUNCTION("""COMPUTED_VALUE"""),526)</f>
        <v>526</v>
      </c>
      <c r="H49" s="2">
        <f ca="1">IFERROR(__xludf.DUMMYFUNCTION("""COMPUTED_VALUE"""),45)</f>
        <v>45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">
      <c r="A50" s="2">
        <f ca="1">IFERROR(__xludf.DUMMYFUNCTION("""COMPUTED_VALUE"""),14)</f>
        <v>14</v>
      </c>
      <c r="B50" s="2" t="str">
        <f ca="1">IFERROR(__xludf.DUMMYFUNCTION("""COMPUTED_VALUE"""),"Toomas")</f>
        <v>Toomas</v>
      </c>
      <c r="C50" s="2" t="str">
        <f ca="1">IFERROR(__xludf.DUMMYFUNCTION("""COMPUTED_VALUE"""),"Luman")</f>
        <v>Luman</v>
      </c>
      <c r="D50" s="2">
        <f ca="1">IFERROR(__xludf.DUMMYFUNCTION("""COMPUTED_VALUE"""),270)</f>
        <v>270</v>
      </c>
      <c r="E50" s="2">
        <f ca="1">IFERROR(__xludf.DUMMYFUNCTION("""COMPUTED_VALUE"""),0)</f>
        <v>0</v>
      </c>
      <c r="F50" s="2">
        <f ca="1">IFERROR(__xludf.DUMMYFUNCTION("""COMPUTED_VALUE"""),253)</f>
        <v>253</v>
      </c>
      <c r="G50" s="2">
        <f ca="1">IFERROR(__xludf.DUMMYFUNCTION("""COMPUTED_VALUE"""),523)</f>
        <v>523</v>
      </c>
      <c r="H50" s="2">
        <f ca="1">IFERROR(__xludf.DUMMYFUNCTION("""COMPUTED_VALUE"""),46)</f>
        <v>46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">
      <c r="A51" s="2">
        <f ca="1">IFERROR(__xludf.DUMMYFUNCTION("""COMPUTED_VALUE"""),95)</f>
        <v>95</v>
      </c>
      <c r="B51" s="2" t="str">
        <f ca="1">IFERROR(__xludf.DUMMYFUNCTION("""COMPUTED_VALUE"""),"Anne")</f>
        <v>Anne</v>
      </c>
      <c r="C51" s="2" t="str">
        <f ca="1">IFERROR(__xludf.DUMMYFUNCTION("""COMPUTED_VALUE"""),"Kull")</f>
        <v>Kull</v>
      </c>
      <c r="D51" s="2">
        <f ca="1">IFERROR(__xludf.DUMMYFUNCTION("""COMPUTED_VALUE"""),137)</f>
        <v>137</v>
      </c>
      <c r="E51" s="2">
        <f ca="1">IFERROR(__xludf.DUMMYFUNCTION("""COMPUTED_VALUE"""),201)</f>
        <v>201</v>
      </c>
      <c r="F51" s="2">
        <f ca="1">IFERROR(__xludf.DUMMYFUNCTION("""COMPUTED_VALUE"""),185)</f>
        <v>185</v>
      </c>
      <c r="G51" s="2">
        <f ca="1">IFERROR(__xludf.DUMMYFUNCTION("""COMPUTED_VALUE"""),523)</f>
        <v>523</v>
      </c>
      <c r="H51" s="2">
        <f ca="1">IFERROR(__xludf.DUMMYFUNCTION("""COMPUTED_VALUE"""),46)</f>
        <v>46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">
      <c r="A52" s="2">
        <f ca="1">IFERROR(__xludf.DUMMYFUNCTION("""COMPUTED_VALUE"""),90)</f>
        <v>90</v>
      </c>
      <c r="B52" s="2" t="str">
        <f ca="1">IFERROR(__xludf.DUMMYFUNCTION("""COMPUTED_VALUE"""),"Kirill")</f>
        <v>Kirill</v>
      </c>
      <c r="C52" s="2" t="str">
        <f ca="1">IFERROR(__xludf.DUMMYFUNCTION("""COMPUTED_VALUE"""),"Lepman")</f>
        <v>Lepman</v>
      </c>
      <c r="D52" s="2">
        <f ca="1">IFERROR(__xludf.DUMMYFUNCTION("""COMPUTED_VALUE"""),251)</f>
        <v>251</v>
      </c>
      <c r="E52" s="2">
        <f ca="1">IFERROR(__xludf.DUMMYFUNCTION("""COMPUTED_VALUE"""),271)</f>
        <v>271</v>
      </c>
      <c r="F52" s="2">
        <f ca="1">IFERROR(__xludf.DUMMYFUNCTION("""COMPUTED_VALUE"""),0)</f>
        <v>0</v>
      </c>
      <c r="G52" s="2">
        <f ca="1">IFERROR(__xludf.DUMMYFUNCTION("""COMPUTED_VALUE"""),522)</f>
        <v>522</v>
      </c>
      <c r="H52" s="2">
        <f ca="1">IFERROR(__xludf.DUMMYFUNCTION("""COMPUTED_VALUE"""),48)</f>
        <v>48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">
      <c r="A53" s="2">
        <f ca="1">IFERROR(__xludf.DUMMYFUNCTION("""COMPUTED_VALUE"""),34)</f>
        <v>34</v>
      </c>
      <c r="B53" s="2" t="str">
        <f ca="1">IFERROR(__xludf.DUMMYFUNCTION("""COMPUTED_VALUE"""),"Raivo")</f>
        <v>Raivo</v>
      </c>
      <c r="C53" s="2" t="str">
        <f ca="1">IFERROR(__xludf.DUMMYFUNCTION("""COMPUTED_VALUE"""),"Neidla")</f>
        <v>Neidla</v>
      </c>
      <c r="D53" s="2">
        <f ca="1">IFERROR(__xludf.DUMMYFUNCTION("""COMPUTED_VALUE"""),263)</f>
        <v>263</v>
      </c>
      <c r="E53" s="2">
        <f ca="1">IFERROR(__xludf.DUMMYFUNCTION("""COMPUTED_VALUE"""),257)</f>
        <v>257</v>
      </c>
      <c r="F53" s="2">
        <f ca="1">IFERROR(__xludf.DUMMYFUNCTION("""COMPUTED_VALUE"""),0)</f>
        <v>0</v>
      </c>
      <c r="G53" s="2">
        <f ca="1">IFERROR(__xludf.DUMMYFUNCTION("""COMPUTED_VALUE"""),520)</f>
        <v>520</v>
      </c>
      <c r="H53" s="2">
        <f ca="1">IFERROR(__xludf.DUMMYFUNCTION("""COMPUTED_VALUE"""),49)</f>
        <v>49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">
      <c r="A54" s="2">
        <f ca="1">IFERROR(__xludf.DUMMYFUNCTION("""COMPUTED_VALUE"""),69)</f>
        <v>69</v>
      </c>
      <c r="B54" s="2" t="str">
        <f ca="1">IFERROR(__xludf.DUMMYFUNCTION("""COMPUTED_VALUE"""),"Indrek")</f>
        <v>Indrek</v>
      </c>
      <c r="C54" s="2" t="str">
        <f ca="1">IFERROR(__xludf.DUMMYFUNCTION("""COMPUTED_VALUE"""),"Kriisa")</f>
        <v>Kriisa</v>
      </c>
      <c r="D54" s="2">
        <f ca="1">IFERROR(__xludf.DUMMYFUNCTION("""COMPUTED_VALUE"""),256)</f>
        <v>256</v>
      </c>
      <c r="E54" s="2">
        <f ca="1">IFERROR(__xludf.DUMMYFUNCTION("""COMPUTED_VALUE"""),264)</f>
        <v>264</v>
      </c>
      <c r="F54" s="2">
        <f ca="1">IFERROR(__xludf.DUMMYFUNCTION("""COMPUTED_VALUE"""),0)</f>
        <v>0</v>
      </c>
      <c r="G54" s="2">
        <f ca="1">IFERROR(__xludf.DUMMYFUNCTION("""COMPUTED_VALUE"""),520)</f>
        <v>520</v>
      </c>
      <c r="H54" s="2">
        <f ca="1">IFERROR(__xludf.DUMMYFUNCTION("""COMPUTED_VALUE"""),49)</f>
        <v>49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">
      <c r="A55" s="2">
        <f ca="1">IFERROR(__xludf.DUMMYFUNCTION("""COMPUTED_VALUE"""),33)</f>
        <v>33</v>
      </c>
      <c r="B55" s="2" t="str">
        <f ca="1">IFERROR(__xludf.DUMMYFUNCTION("""COMPUTED_VALUE"""),"Matti")</f>
        <v>Matti</v>
      </c>
      <c r="C55" s="2" t="str">
        <f ca="1">IFERROR(__xludf.DUMMYFUNCTION("""COMPUTED_VALUE"""),"Kanep")</f>
        <v>Kanep</v>
      </c>
      <c r="D55" s="2">
        <f ca="1">IFERROR(__xludf.DUMMYFUNCTION("""COMPUTED_VALUE"""),241)</f>
        <v>241</v>
      </c>
      <c r="E55" s="2">
        <f ca="1">IFERROR(__xludf.DUMMYFUNCTION("""COMPUTED_VALUE"""),276)</f>
        <v>276</v>
      </c>
      <c r="F55" s="2">
        <f ca="1">IFERROR(__xludf.DUMMYFUNCTION("""COMPUTED_VALUE"""),0)</f>
        <v>0</v>
      </c>
      <c r="G55" s="2">
        <f ca="1">IFERROR(__xludf.DUMMYFUNCTION("""COMPUTED_VALUE"""),517)</f>
        <v>517</v>
      </c>
      <c r="H55" s="2">
        <f ca="1">IFERROR(__xludf.DUMMYFUNCTION("""COMPUTED_VALUE"""),51)</f>
        <v>51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">
      <c r="A56" s="2">
        <f ca="1">IFERROR(__xludf.DUMMYFUNCTION("""COMPUTED_VALUE"""),37)</f>
        <v>37</v>
      </c>
      <c r="B56" s="2" t="str">
        <f ca="1">IFERROR(__xludf.DUMMYFUNCTION("""COMPUTED_VALUE"""),"Kersti")</f>
        <v>Kersti</v>
      </c>
      <c r="C56" s="2" t="str">
        <f ca="1">IFERROR(__xludf.DUMMYFUNCTION("""COMPUTED_VALUE"""),"Kaare")</f>
        <v>Kaare</v>
      </c>
      <c r="D56" s="2">
        <f ca="1">IFERROR(__xludf.DUMMYFUNCTION("""COMPUTED_VALUE"""),0)</f>
        <v>0</v>
      </c>
      <c r="E56" s="2">
        <f ca="1">IFERROR(__xludf.DUMMYFUNCTION("""COMPUTED_VALUE"""),282)</f>
        <v>282</v>
      </c>
      <c r="F56" s="2">
        <f ca="1">IFERROR(__xludf.DUMMYFUNCTION("""COMPUTED_VALUE"""),233)</f>
        <v>233</v>
      </c>
      <c r="G56" s="2">
        <f ca="1">IFERROR(__xludf.DUMMYFUNCTION("""COMPUTED_VALUE"""),515)</f>
        <v>515</v>
      </c>
      <c r="H56" s="2">
        <f ca="1">IFERROR(__xludf.DUMMYFUNCTION("""COMPUTED_VALUE"""),52)</f>
        <v>52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">
      <c r="A57" s="2">
        <f ca="1">IFERROR(__xludf.DUMMYFUNCTION("""COMPUTED_VALUE"""),135)</f>
        <v>135</v>
      </c>
      <c r="B57" s="2" t="str">
        <f ca="1">IFERROR(__xludf.DUMMYFUNCTION("""COMPUTED_VALUE"""),"Viia")</f>
        <v>Viia</v>
      </c>
      <c r="C57" s="2" t="str">
        <f ca="1">IFERROR(__xludf.DUMMYFUNCTION("""COMPUTED_VALUE"""),"Kaldam")</f>
        <v>Kaldam</v>
      </c>
      <c r="D57" s="2">
        <f ca="1">IFERROR(__xludf.DUMMYFUNCTION("""COMPUTED_VALUE"""),266)</f>
        <v>266</v>
      </c>
      <c r="E57" s="2">
        <f ca="1">IFERROR(__xludf.DUMMYFUNCTION("""COMPUTED_VALUE"""),0)</f>
        <v>0</v>
      </c>
      <c r="F57" s="2">
        <f ca="1">IFERROR(__xludf.DUMMYFUNCTION("""COMPUTED_VALUE"""),247)</f>
        <v>247</v>
      </c>
      <c r="G57" s="2">
        <f ca="1">IFERROR(__xludf.DUMMYFUNCTION("""COMPUTED_VALUE"""),513)</f>
        <v>513</v>
      </c>
      <c r="H57" s="2">
        <f ca="1">IFERROR(__xludf.DUMMYFUNCTION("""COMPUTED_VALUE"""),53)</f>
        <v>53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">
      <c r="A58" s="2">
        <f ca="1">IFERROR(__xludf.DUMMYFUNCTION("""COMPUTED_VALUE"""),26)</f>
        <v>26</v>
      </c>
      <c r="B58" s="2" t="str">
        <f ca="1">IFERROR(__xludf.DUMMYFUNCTION("""COMPUTED_VALUE"""),"Sirle")</f>
        <v>Sirle</v>
      </c>
      <c r="C58" s="2" t="str">
        <f ca="1">IFERROR(__xludf.DUMMYFUNCTION("""COMPUTED_VALUE"""),"Baldesport-Märss")</f>
        <v>Baldesport-Märss</v>
      </c>
      <c r="D58" s="2">
        <f ca="1">IFERROR(__xludf.DUMMYFUNCTION("""COMPUTED_VALUE"""),251)</f>
        <v>251</v>
      </c>
      <c r="E58" s="2">
        <f ca="1">IFERROR(__xludf.DUMMYFUNCTION("""COMPUTED_VALUE"""),261)</f>
        <v>261</v>
      </c>
      <c r="F58" s="2">
        <f ca="1">IFERROR(__xludf.DUMMYFUNCTION("""COMPUTED_VALUE"""),0)</f>
        <v>0</v>
      </c>
      <c r="G58" s="2">
        <f ca="1">IFERROR(__xludf.DUMMYFUNCTION("""COMPUTED_VALUE"""),512)</f>
        <v>512</v>
      </c>
      <c r="H58" s="2">
        <f ca="1">IFERROR(__xludf.DUMMYFUNCTION("""COMPUTED_VALUE"""),54)</f>
        <v>54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">
      <c r="A59" s="2">
        <f ca="1">IFERROR(__xludf.DUMMYFUNCTION("""COMPUTED_VALUE"""),51)</f>
        <v>51</v>
      </c>
      <c r="B59" s="2" t="str">
        <f ca="1">IFERROR(__xludf.DUMMYFUNCTION("""COMPUTED_VALUE"""),"Holger")</f>
        <v>Holger</v>
      </c>
      <c r="C59" s="2" t="str">
        <f ca="1">IFERROR(__xludf.DUMMYFUNCTION("""COMPUTED_VALUE"""),"Rünkaru")</f>
        <v>Rünkaru</v>
      </c>
      <c r="D59" s="2">
        <f ca="1">IFERROR(__xludf.DUMMYFUNCTION("""COMPUTED_VALUE"""),249)</f>
        <v>249</v>
      </c>
      <c r="E59" s="2">
        <f ca="1">IFERROR(__xludf.DUMMYFUNCTION("""COMPUTED_VALUE"""),262)</f>
        <v>262</v>
      </c>
      <c r="F59" s="2">
        <f ca="1">IFERROR(__xludf.DUMMYFUNCTION("""COMPUTED_VALUE"""),0)</f>
        <v>0</v>
      </c>
      <c r="G59" s="2">
        <f ca="1">IFERROR(__xludf.DUMMYFUNCTION("""COMPUTED_VALUE"""),511)</f>
        <v>511</v>
      </c>
      <c r="H59" s="2">
        <f ca="1">IFERROR(__xludf.DUMMYFUNCTION("""COMPUTED_VALUE"""),55)</f>
        <v>55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">
      <c r="A60" s="2">
        <f ca="1">IFERROR(__xludf.DUMMYFUNCTION("""COMPUTED_VALUE"""),126)</f>
        <v>126</v>
      </c>
      <c r="B60" s="2" t="str">
        <f ca="1">IFERROR(__xludf.DUMMYFUNCTION("""COMPUTED_VALUE"""),"Aili")</f>
        <v>Aili</v>
      </c>
      <c r="C60" s="2" t="str">
        <f ca="1">IFERROR(__xludf.DUMMYFUNCTION("""COMPUTED_VALUE"""),"Popp")</f>
        <v>Popp</v>
      </c>
      <c r="D60" s="2">
        <f ca="1">IFERROR(__xludf.DUMMYFUNCTION("""COMPUTED_VALUE"""),0)</f>
        <v>0</v>
      </c>
      <c r="E60" s="2">
        <f ca="1">IFERROR(__xludf.DUMMYFUNCTION("""COMPUTED_VALUE"""),288)</f>
        <v>288</v>
      </c>
      <c r="F60" s="2">
        <f ca="1">IFERROR(__xludf.DUMMYFUNCTION("""COMPUTED_VALUE"""),223)</f>
        <v>223</v>
      </c>
      <c r="G60" s="2">
        <f ca="1">IFERROR(__xludf.DUMMYFUNCTION("""COMPUTED_VALUE"""),511)</f>
        <v>511</v>
      </c>
      <c r="H60" s="2">
        <f ca="1">IFERROR(__xludf.DUMMYFUNCTION("""COMPUTED_VALUE"""),55)</f>
        <v>55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">
      <c r="A61" s="2">
        <f ca="1">IFERROR(__xludf.DUMMYFUNCTION("""COMPUTED_VALUE"""),2)</f>
        <v>2</v>
      </c>
      <c r="B61" s="2" t="str">
        <f ca="1">IFERROR(__xludf.DUMMYFUNCTION("""COMPUTED_VALUE"""),"Marco")</f>
        <v>Marco</v>
      </c>
      <c r="C61" s="2" t="str">
        <f ca="1">IFERROR(__xludf.DUMMYFUNCTION("""COMPUTED_VALUE"""),"Miil")</f>
        <v>Miil</v>
      </c>
      <c r="D61" s="2">
        <f ca="1">IFERROR(__xludf.DUMMYFUNCTION("""COMPUTED_VALUE"""),263)</f>
        <v>263</v>
      </c>
      <c r="E61" s="2">
        <f ca="1">IFERROR(__xludf.DUMMYFUNCTION("""COMPUTED_VALUE"""),246)</f>
        <v>246</v>
      </c>
      <c r="F61" s="2">
        <f ca="1">IFERROR(__xludf.DUMMYFUNCTION("""COMPUTED_VALUE"""),0)</f>
        <v>0</v>
      </c>
      <c r="G61" s="2">
        <f ca="1">IFERROR(__xludf.DUMMYFUNCTION("""COMPUTED_VALUE"""),509)</f>
        <v>509</v>
      </c>
      <c r="H61" s="2">
        <f ca="1">IFERROR(__xludf.DUMMYFUNCTION("""COMPUTED_VALUE"""),57)</f>
        <v>57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">
      <c r="A62" s="2">
        <f ca="1">IFERROR(__xludf.DUMMYFUNCTION("""COMPUTED_VALUE"""),5)</f>
        <v>5</v>
      </c>
      <c r="B62" s="2" t="str">
        <f ca="1">IFERROR(__xludf.DUMMYFUNCTION("""COMPUTED_VALUE"""),"Martin")</f>
        <v>Martin</v>
      </c>
      <c r="C62" s="2" t="str">
        <f ca="1">IFERROR(__xludf.DUMMYFUNCTION("""COMPUTED_VALUE"""),"Lints")</f>
        <v>Lints</v>
      </c>
      <c r="D62" s="2">
        <f ca="1">IFERROR(__xludf.DUMMYFUNCTION("""COMPUTED_VALUE"""),245)</f>
        <v>245</v>
      </c>
      <c r="E62" s="2">
        <f ca="1">IFERROR(__xludf.DUMMYFUNCTION("""COMPUTED_VALUE"""),263)</f>
        <v>263</v>
      </c>
      <c r="F62" s="2">
        <f ca="1">IFERROR(__xludf.DUMMYFUNCTION("""COMPUTED_VALUE"""),0)</f>
        <v>0</v>
      </c>
      <c r="G62" s="2">
        <f ca="1">IFERROR(__xludf.DUMMYFUNCTION("""COMPUTED_VALUE"""),508)</f>
        <v>508</v>
      </c>
      <c r="H62" s="2">
        <f ca="1">IFERROR(__xludf.DUMMYFUNCTION("""COMPUTED_VALUE"""),58)</f>
        <v>58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">
      <c r="A63" s="2">
        <f ca="1">IFERROR(__xludf.DUMMYFUNCTION("""COMPUTED_VALUE"""),62)</f>
        <v>62</v>
      </c>
      <c r="B63" s="2" t="str">
        <f ca="1">IFERROR(__xludf.DUMMYFUNCTION("""COMPUTED_VALUE"""),"Mihkel")</f>
        <v>Mihkel</v>
      </c>
      <c r="C63" s="2" t="str">
        <f ca="1">IFERROR(__xludf.DUMMYFUNCTION("""COMPUTED_VALUE"""),"Kalbus")</f>
        <v>Kalbus</v>
      </c>
      <c r="D63" s="2">
        <f ca="1">IFERROR(__xludf.DUMMYFUNCTION("""COMPUTED_VALUE"""),0)</f>
        <v>0</v>
      </c>
      <c r="E63" s="2">
        <f ca="1">IFERROR(__xludf.DUMMYFUNCTION("""COMPUTED_VALUE"""),272)</f>
        <v>272</v>
      </c>
      <c r="F63" s="2">
        <f ca="1">IFERROR(__xludf.DUMMYFUNCTION("""COMPUTED_VALUE"""),232)</f>
        <v>232</v>
      </c>
      <c r="G63" s="2">
        <f ca="1">IFERROR(__xludf.DUMMYFUNCTION("""COMPUTED_VALUE"""),504)</f>
        <v>504</v>
      </c>
      <c r="H63" s="2">
        <f ca="1">IFERROR(__xludf.DUMMYFUNCTION("""COMPUTED_VALUE"""),59)</f>
        <v>59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">
      <c r="A64" s="2">
        <f ca="1">IFERROR(__xludf.DUMMYFUNCTION("""COMPUTED_VALUE"""),84)</f>
        <v>84</v>
      </c>
      <c r="B64" s="2" t="str">
        <f ca="1">IFERROR(__xludf.DUMMYFUNCTION("""COMPUTED_VALUE"""),"Lilian")</f>
        <v>Lilian</v>
      </c>
      <c r="C64" s="2" t="str">
        <f ca="1">IFERROR(__xludf.DUMMYFUNCTION("""COMPUTED_VALUE"""),"Telanne")</f>
        <v>Telanne</v>
      </c>
      <c r="D64" s="2">
        <f ca="1">IFERROR(__xludf.DUMMYFUNCTION("""COMPUTED_VALUE"""),252)</f>
        <v>252</v>
      </c>
      <c r="E64" s="2">
        <f ca="1">IFERROR(__xludf.DUMMYFUNCTION("""COMPUTED_VALUE"""),250)</f>
        <v>250</v>
      </c>
      <c r="F64" s="2">
        <f ca="1">IFERROR(__xludf.DUMMYFUNCTION("""COMPUTED_VALUE"""),0)</f>
        <v>0</v>
      </c>
      <c r="G64" s="2">
        <f ca="1">IFERROR(__xludf.DUMMYFUNCTION("""COMPUTED_VALUE"""),502)</f>
        <v>502</v>
      </c>
      <c r="H64" s="2">
        <f ca="1">IFERROR(__xludf.DUMMYFUNCTION("""COMPUTED_VALUE"""),60)</f>
        <v>60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">
      <c r="A65" s="2">
        <f ca="1">IFERROR(__xludf.DUMMYFUNCTION("""COMPUTED_VALUE"""),21)</f>
        <v>21</v>
      </c>
      <c r="B65" s="2" t="str">
        <f ca="1">IFERROR(__xludf.DUMMYFUNCTION("""COMPUTED_VALUE"""),"Anti")</f>
        <v>Anti</v>
      </c>
      <c r="C65" s="2" t="str">
        <f ca="1">IFERROR(__xludf.DUMMYFUNCTION("""COMPUTED_VALUE"""),"Grünberg")</f>
        <v>Grünberg</v>
      </c>
      <c r="D65" s="2">
        <f ca="1">IFERROR(__xludf.DUMMYFUNCTION("""COMPUTED_VALUE"""),0)</f>
        <v>0</v>
      </c>
      <c r="E65" s="2">
        <f ca="1">IFERROR(__xludf.DUMMYFUNCTION("""COMPUTED_VALUE"""),260)</f>
        <v>260</v>
      </c>
      <c r="F65" s="2">
        <f ca="1">IFERROR(__xludf.DUMMYFUNCTION("""COMPUTED_VALUE"""),240)</f>
        <v>240</v>
      </c>
      <c r="G65" s="2">
        <f ca="1">IFERROR(__xludf.DUMMYFUNCTION("""COMPUTED_VALUE"""),500)</f>
        <v>500</v>
      </c>
      <c r="H65" s="2">
        <f ca="1">IFERROR(__xludf.DUMMYFUNCTION("""COMPUTED_VALUE"""),61)</f>
        <v>61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">
      <c r="A66" s="2">
        <f ca="1">IFERROR(__xludf.DUMMYFUNCTION("""COMPUTED_VALUE"""),11)</f>
        <v>11</v>
      </c>
      <c r="B66" s="2" t="str">
        <f ca="1">IFERROR(__xludf.DUMMYFUNCTION("""COMPUTED_VALUE"""),"Marek")</f>
        <v>Marek</v>
      </c>
      <c r="C66" s="2" t="str">
        <f ca="1">IFERROR(__xludf.DUMMYFUNCTION("""COMPUTED_VALUE"""),"Multram")</f>
        <v>Multram</v>
      </c>
      <c r="D66" s="2">
        <f ca="1">IFERROR(__xludf.DUMMYFUNCTION("""COMPUTED_VALUE"""),263)</f>
        <v>263</v>
      </c>
      <c r="E66" s="2">
        <f ca="1">IFERROR(__xludf.DUMMYFUNCTION("""COMPUTED_VALUE"""),0)</f>
        <v>0</v>
      </c>
      <c r="F66" s="2">
        <f ca="1">IFERROR(__xludf.DUMMYFUNCTION("""COMPUTED_VALUE"""),234)</f>
        <v>234</v>
      </c>
      <c r="G66" s="2">
        <f ca="1">IFERROR(__xludf.DUMMYFUNCTION("""COMPUTED_VALUE"""),497)</f>
        <v>497</v>
      </c>
      <c r="H66" s="2">
        <f ca="1">IFERROR(__xludf.DUMMYFUNCTION("""COMPUTED_VALUE"""),62)</f>
        <v>62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">
      <c r="A67" s="2">
        <f ca="1">IFERROR(__xludf.DUMMYFUNCTION("""COMPUTED_VALUE"""),41)</f>
        <v>41</v>
      </c>
      <c r="B67" s="2" t="str">
        <f ca="1">IFERROR(__xludf.DUMMYFUNCTION("""COMPUTED_VALUE"""),"Kalle")</f>
        <v>Kalle</v>
      </c>
      <c r="C67" s="2" t="str">
        <f ca="1">IFERROR(__xludf.DUMMYFUNCTION("""COMPUTED_VALUE"""),"Toomet")</f>
        <v>Toomet</v>
      </c>
      <c r="D67" s="2">
        <f ca="1">IFERROR(__xludf.DUMMYFUNCTION("""COMPUTED_VALUE"""),0)</f>
        <v>0</v>
      </c>
      <c r="E67" s="2">
        <f ca="1">IFERROR(__xludf.DUMMYFUNCTION("""COMPUTED_VALUE"""),271)</f>
        <v>271</v>
      </c>
      <c r="F67" s="2">
        <f ca="1">IFERROR(__xludf.DUMMYFUNCTION("""COMPUTED_VALUE"""),226)</f>
        <v>226</v>
      </c>
      <c r="G67" s="2">
        <f ca="1">IFERROR(__xludf.DUMMYFUNCTION("""COMPUTED_VALUE"""),497)</f>
        <v>497</v>
      </c>
      <c r="H67" s="2">
        <f ca="1">IFERROR(__xludf.DUMMYFUNCTION("""COMPUTED_VALUE"""),62)</f>
        <v>62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">
      <c r="A68" s="2">
        <f ca="1">IFERROR(__xludf.DUMMYFUNCTION("""COMPUTED_VALUE"""),86)</f>
        <v>86</v>
      </c>
      <c r="B68" s="2" t="str">
        <f ca="1">IFERROR(__xludf.DUMMYFUNCTION("""COMPUTED_VALUE"""),"Karl-Peeter")</f>
        <v>Karl-Peeter</v>
      </c>
      <c r="C68" s="2" t="str">
        <f ca="1">IFERROR(__xludf.DUMMYFUNCTION("""COMPUTED_VALUE"""),"Ein")</f>
        <v>Ein</v>
      </c>
      <c r="D68" s="2">
        <f ca="1">IFERROR(__xludf.DUMMYFUNCTION("""COMPUTED_VALUE"""),0)</f>
        <v>0</v>
      </c>
      <c r="E68" s="2">
        <f ca="1">IFERROR(__xludf.DUMMYFUNCTION("""COMPUTED_VALUE"""),266)</f>
        <v>266</v>
      </c>
      <c r="F68" s="2">
        <f ca="1">IFERROR(__xludf.DUMMYFUNCTION("""COMPUTED_VALUE"""),231)</f>
        <v>231</v>
      </c>
      <c r="G68" s="2">
        <f ca="1">IFERROR(__xludf.DUMMYFUNCTION("""COMPUTED_VALUE"""),497)</f>
        <v>497</v>
      </c>
      <c r="H68" s="2">
        <f ca="1">IFERROR(__xludf.DUMMYFUNCTION("""COMPUTED_VALUE"""),62)</f>
        <v>62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">
      <c r="A69" s="2">
        <f ca="1">IFERROR(__xludf.DUMMYFUNCTION("""COMPUTED_VALUE"""),88)</f>
        <v>88</v>
      </c>
      <c r="B69" s="2" t="str">
        <f ca="1">IFERROR(__xludf.DUMMYFUNCTION("""COMPUTED_VALUE"""),"Ivar")</f>
        <v>Ivar</v>
      </c>
      <c r="C69" s="2" t="str">
        <f ca="1">IFERROR(__xludf.DUMMYFUNCTION("""COMPUTED_VALUE"""),"Grave")</f>
        <v>Grave</v>
      </c>
      <c r="D69" s="2">
        <f ca="1">IFERROR(__xludf.DUMMYFUNCTION("""COMPUTED_VALUE"""),237)</f>
        <v>237</v>
      </c>
      <c r="E69" s="2">
        <f ca="1">IFERROR(__xludf.DUMMYFUNCTION("""COMPUTED_VALUE"""),254)</f>
        <v>254</v>
      </c>
      <c r="F69" s="2">
        <f ca="1">IFERROR(__xludf.DUMMYFUNCTION("""COMPUTED_VALUE"""),0)</f>
        <v>0</v>
      </c>
      <c r="G69" s="2">
        <f ca="1">IFERROR(__xludf.DUMMYFUNCTION("""COMPUTED_VALUE"""),491)</f>
        <v>491</v>
      </c>
      <c r="H69" s="2">
        <f ca="1">IFERROR(__xludf.DUMMYFUNCTION("""COMPUTED_VALUE"""),65)</f>
        <v>65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">
      <c r="A70" s="2">
        <f ca="1">IFERROR(__xludf.DUMMYFUNCTION("""COMPUTED_VALUE"""),4)</f>
        <v>4</v>
      </c>
      <c r="B70" s="2" t="str">
        <f ca="1">IFERROR(__xludf.DUMMYFUNCTION("""COMPUTED_VALUE"""),"Priidik")</f>
        <v>Priidik</v>
      </c>
      <c r="C70" s="2" t="str">
        <f ca="1">IFERROR(__xludf.DUMMYFUNCTION("""COMPUTED_VALUE"""),"Hänni")</f>
        <v>Hänni</v>
      </c>
      <c r="D70" s="2">
        <f ca="1">IFERROR(__xludf.DUMMYFUNCTION("""COMPUTED_VALUE"""),232)</f>
        <v>232</v>
      </c>
      <c r="E70" s="2">
        <f ca="1">IFERROR(__xludf.DUMMYFUNCTION("""COMPUTED_VALUE"""),258)</f>
        <v>258</v>
      </c>
      <c r="F70" s="2">
        <f ca="1">IFERROR(__xludf.DUMMYFUNCTION("""COMPUTED_VALUE"""),0)</f>
        <v>0</v>
      </c>
      <c r="G70" s="2">
        <f ca="1">IFERROR(__xludf.DUMMYFUNCTION("""COMPUTED_VALUE"""),490)</f>
        <v>490</v>
      </c>
      <c r="H70" s="2">
        <f ca="1">IFERROR(__xludf.DUMMYFUNCTION("""COMPUTED_VALUE"""),66)</f>
        <v>66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">
      <c r="A71" s="2">
        <f ca="1">IFERROR(__xludf.DUMMYFUNCTION("""COMPUTED_VALUE"""),148)</f>
        <v>148</v>
      </c>
      <c r="B71" s="2" t="str">
        <f ca="1">IFERROR(__xludf.DUMMYFUNCTION("""COMPUTED_VALUE"""),"Reijo")</f>
        <v>Reijo</v>
      </c>
      <c r="C71" s="2" t="str">
        <f ca="1">IFERROR(__xludf.DUMMYFUNCTION("""COMPUTED_VALUE"""),"Virolainen")</f>
        <v>Virolainen</v>
      </c>
      <c r="D71" s="2">
        <f ca="1">IFERROR(__xludf.DUMMYFUNCTION("""COMPUTED_VALUE"""),269)</f>
        <v>269</v>
      </c>
      <c r="E71" s="2">
        <f ca="1">IFERROR(__xludf.DUMMYFUNCTION("""COMPUTED_VALUE"""),0)</f>
        <v>0</v>
      </c>
      <c r="F71" s="2">
        <f ca="1">IFERROR(__xludf.DUMMYFUNCTION("""COMPUTED_VALUE"""),221)</f>
        <v>221</v>
      </c>
      <c r="G71" s="2">
        <f ca="1">IFERROR(__xludf.DUMMYFUNCTION("""COMPUTED_VALUE"""),490)</f>
        <v>490</v>
      </c>
      <c r="H71" s="2">
        <f ca="1">IFERROR(__xludf.DUMMYFUNCTION("""COMPUTED_VALUE"""),66)</f>
        <v>66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">
      <c r="A72" s="2">
        <f ca="1">IFERROR(__xludf.DUMMYFUNCTION("""COMPUTED_VALUE"""),108)</f>
        <v>108</v>
      </c>
      <c r="B72" s="2" t="str">
        <f ca="1">IFERROR(__xludf.DUMMYFUNCTION("""COMPUTED_VALUE"""),"Madis")</f>
        <v>Madis</v>
      </c>
      <c r="C72" s="2" t="str">
        <f ca="1">IFERROR(__xludf.DUMMYFUNCTION("""COMPUTED_VALUE"""),"Madisson")</f>
        <v>Madisson</v>
      </c>
      <c r="D72" s="2">
        <f ca="1">IFERROR(__xludf.DUMMYFUNCTION("""COMPUTED_VALUE"""),0)</f>
        <v>0</v>
      </c>
      <c r="E72" s="2">
        <f ca="1">IFERROR(__xludf.DUMMYFUNCTION("""COMPUTED_VALUE"""),253)</f>
        <v>253</v>
      </c>
      <c r="F72" s="2">
        <f ca="1">IFERROR(__xludf.DUMMYFUNCTION("""COMPUTED_VALUE"""),234)</f>
        <v>234</v>
      </c>
      <c r="G72" s="2">
        <f ca="1">IFERROR(__xludf.DUMMYFUNCTION("""COMPUTED_VALUE"""),487)</f>
        <v>487</v>
      </c>
      <c r="H72" s="2">
        <f ca="1">IFERROR(__xludf.DUMMYFUNCTION("""COMPUTED_VALUE"""),68)</f>
        <v>68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">
      <c r="A73" s="2">
        <f ca="1">IFERROR(__xludf.DUMMYFUNCTION("""COMPUTED_VALUE"""),56)</f>
        <v>56</v>
      </c>
      <c r="B73" s="2" t="str">
        <f ca="1">IFERROR(__xludf.DUMMYFUNCTION("""COMPUTED_VALUE"""),"Imre")</f>
        <v>Imre</v>
      </c>
      <c r="C73" s="2" t="str">
        <f ca="1">IFERROR(__xludf.DUMMYFUNCTION("""COMPUTED_VALUE"""),"Tsõmbalov")</f>
        <v>Tsõmbalov</v>
      </c>
      <c r="D73" s="2">
        <f ca="1">IFERROR(__xludf.DUMMYFUNCTION("""COMPUTED_VALUE"""),229)</f>
        <v>229</v>
      </c>
      <c r="E73" s="2">
        <f ca="1">IFERROR(__xludf.DUMMYFUNCTION("""COMPUTED_VALUE"""),257)</f>
        <v>257</v>
      </c>
      <c r="F73" s="2">
        <f ca="1">IFERROR(__xludf.DUMMYFUNCTION("""COMPUTED_VALUE"""),0)</f>
        <v>0</v>
      </c>
      <c r="G73" s="2">
        <f ca="1">IFERROR(__xludf.DUMMYFUNCTION("""COMPUTED_VALUE"""),486)</f>
        <v>486</v>
      </c>
      <c r="H73" s="2">
        <f ca="1">IFERROR(__xludf.DUMMYFUNCTION("""COMPUTED_VALUE"""),69)</f>
        <v>69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">
      <c r="A74" s="2">
        <f ca="1">IFERROR(__xludf.DUMMYFUNCTION("""COMPUTED_VALUE"""),121)</f>
        <v>121</v>
      </c>
      <c r="B74" s="2" t="str">
        <f ca="1">IFERROR(__xludf.DUMMYFUNCTION("""COMPUTED_VALUE"""),"Kristjan")</f>
        <v>Kristjan</v>
      </c>
      <c r="C74" s="2" t="str">
        <f ca="1">IFERROR(__xludf.DUMMYFUNCTION("""COMPUTED_VALUE"""),"Pahk")</f>
        <v>Pahk</v>
      </c>
      <c r="D74" s="2">
        <f ca="1">IFERROR(__xludf.DUMMYFUNCTION("""COMPUTED_VALUE"""),0)</f>
        <v>0</v>
      </c>
      <c r="E74" s="2">
        <f ca="1">IFERROR(__xludf.DUMMYFUNCTION("""COMPUTED_VALUE"""),273)</f>
        <v>273</v>
      </c>
      <c r="F74" s="2">
        <f ca="1">IFERROR(__xludf.DUMMYFUNCTION("""COMPUTED_VALUE"""),210)</f>
        <v>210</v>
      </c>
      <c r="G74" s="2">
        <f ca="1">IFERROR(__xludf.DUMMYFUNCTION("""COMPUTED_VALUE"""),483)</f>
        <v>483</v>
      </c>
      <c r="H74" s="2">
        <f ca="1">IFERROR(__xludf.DUMMYFUNCTION("""COMPUTED_VALUE"""),70)</f>
        <v>70</v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">
      <c r="A75" s="2">
        <f ca="1">IFERROR(__xludf.DUMMYFUNCTION("""COMPUTED_VALUE"""),124)</f>
        <v>124</v>
      </c>
      <c r="B75" s="2" t="str">
        <f ca="1">IFERROR(__xludf.DUMMYFUNCTION("""COMPUTED_VALUE"""),"Aivar")</f>
        <v>Aivar</v>
      </c>
      <c r="C75" s="2" t="str">
        <f ca="1">IFERROR(__xludf.DUMMYFUNCTION("""COMPUTED_VALUE"""),"Liivrand")</f>
        <v>Liivrand</v>
      </c>
      <c r="D75" s="2">
        <f ca="1">IFERROR(__xludf.DUMMYFUNCTION("""COMPUTED_VALUE"""),0)</f>
        <v>0</v>
      </c>
      <c r="E75" s="2">
        <f ca="1">IFERROR(__xludf.DUMMYFUNCTION("""COMPUTED_VALUE"""),267)</f>
        <v>267</v>
      </c>
      <c r="F75" s="2">
        <f ca="1">IFERROR(__xludf.DUMMYFUNCTION("""COMPUTED_VALUE"""),214)</f>
        <v>214</v>
      </c>
      <c r="G75" s="2">
        <f ca="1">IFERROR(__xludf.DUMMYFUNCTION("""COMPUTED_VALUE"""),481)</f>
        <v>481</v>
      </c>
      <c r="H75" s="2">
        <f ca="1">IFERROR(__xludf.DUMMYFUNCTION("""COMPUTED_VALUE"""),71)</f>
        <v>71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">
      <c r="A76" s="2">
        <f ca="1">IFERROR(__xludf.DUMMYFUNCTION("""COMPUTED_VALUE"""),144)</f>
        <v>144</v>
      </c>
      <c r="B76" s="2" t="str">
        <f ca="1">IFERROR(__xludf.DUMMYFUNCTION("""COMPUTED_VALUE"""),"Andrus")</f>
        <v>Andrus</v>
      </c>
      <c r="C76" s="2" t="str">
        <f ca="1">IFERROR(__xludf.DUMMYFUNCTION("""COMPUTED_VALUE"""),"Illopmägi")</f>
        <v>Illopmägi</v>
      </c>
      <c r="D76" s="2">
        <f ca="1">IFERROR(__xludf.DUMMYFUNCTION("""COMPUTED_VALUE"""),270)</f>
        <v>270</v>
      </c>
      <c r="E76" s="2">
        <f ca="1">IFERROR(__xludf.DUMMYFUNCTION("""COMPUTED_VALUE"""),0)</f>
        <v>0</v>
      </c>
      <c r="F76" s="2">
        <f ca="1">IFERROR(__xludf.DUMMYFUNCTION("""COMPUTED_VALUE"""),211)</f>
        <v>211</v>
      </c>
      <c r="G76" s="2">
        <f ca="1">IFERROR(__xludf.DUMMYFUNCTION("""COMPUTED_VALUE"""),481)</f>
        <v>481</v>
      </c>
      <c r="H76" s="2">
        <f ca="1">IFERROR(__xludf.DUMMYFUNCTION("""COMPUTED_VALUE"""),71)</f>
        <v>71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">
      <c r="A77" s="2">
        <f ca="1">IFERROR(__xludf.DUMMYFUNCTION("""COMPUTED_VALUE"""),70)</f>
        <v>70</v>
      </c>
      <c r="B77" s="2" t="str">
        <f ca="1">IFERROR(__xludf.DUMMYFUNCTION("""COMPUTED_VALUE"""),"Silja")</f>
        <v>Silja</v>
      </c>
      <c r="C77" s="2" t="str">
        <f ca="1">IFERROR(__xludf.DUMMYFUNCTION("""COMPUTED_VALUE"""),"Möllits")</f>
        <v>Möllits</v>
      </c>
      <c r="D77" s="2">
        <f ca="1">IFERROR(__xludf.DUMMYFUNCTION("""COMPUTED_VALUE"""),213)</f>
        <v>213</v>
      </c>
      <c r="E77" s="2">
        <f ca="1">IFERROR(__xludf.DUMMYFUNCTION("""COMPUTED_VALUE"""),267)</f>
        <v>267</v>
      </c>
      <c r="F77" s="2">
        <f ca="1">IFERROR(__xludf.DUMMYFUNCTION("""COMPUTED_VALUE"""),0)</f>
        <v>0</v>
      </c>
      <c r="G77" s="2">
        <f ca="1">IFERROR(__xludf.DUMMYFUNCTION("""COMPUTED_VALUE"""),480)</f>
        <v>480</v>
      </c>
      <c r="H77" s="2">
        <f ca="1">IFERROR(__xludf.DUMMYFUNCTION("""COMPUTED_VALUE"""),73)</f>
        <v>73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">
      <c r="A78" s="2">
        <f ca="1">IFERROR(__xludf.DUMMYFUNCTION("""COMPUTED_VALUE"""),7)</f>
        <v>7</v>
      </c>
      <c r="B78" s="2" t="str">
        <f ca="1">IFERROR(__xludf.DUMMYFUNCTION("""COMPUTED_VALUE"""),"Kristjen")</f>
        <v>Kristjen</v>
      </c>
      <c r="C78" s="2" t="str">
        <f ca="1">IFERROR(__xludf.DUMMYFUNCTION("""COMPUTED_VALUE"""),"Kuus")</f>
        <v>Kuus</v>
      </c>
      <c r="D78" s="2">
        <f ca="1">IFERROR(__xludf.DUMMYFUNCTION("""COMPUTED_VALUE"""),228)</f>
        <v>228</v>
      </c>
      <c r="E78" s="2">
        <f ca="1">IFERROR(__xludf.DUMMYFUNCTION("""COMPUTED_VALUE"""),250)</f>
        <v>250</v>
      </c>
      <c r="F78" s="2">
        <f ca="1">IFERROR(__xludf.DUMMYFUNCTION("""COMPUTED_VALUE"""),0)</f>
        <v>0</v>
      </c>
      <c r="G78" s="2">
        <f ca="1">IFERROR(__xludf.DUMMYFUNCTION("""COMPUTED_VALUE"""),478)</f>
        <v>478</v>
      </c>
      <c r="H78" s="2">
        <f ca="1">IFERROR(__xludf.DUMMYFUNCTION("""COMPUTED_VALUE"""),74)</f>
        <v>74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">
      <c r="A79" s="2">
        <f ca="1">IFERROR(__xludf.DUMMYFUNCTION("""COMPUTED_VALUE"""),142)</f>
        <v>142</v>
      </c>
      <c r="B79" s="2" t="str">
        <f ca="1">IFERROR(__xludf.DUMMYFUNCTION("""COMPUTED_VALUE"""),"Siim")</f>
        <v>Siim</v>
      </c>
      <c r="C79" s="2" t="str">
        <f ca="1">IFERROR(__xludf.DUMMYFUNCTION("""COMPUTED_VALUE"""),"Illopmägi")</f>
        <v>Illopmägi</v>
      </c>
      <c r="D79" s="2">
        <f ca="1">IFERROR(__xludf.DUMMYFUNCTION("""COMPUTED_VALUE"""),274)</f>
        <v>274</v>
      </c>
      <c r="E79" s="2">
        <f ca="1">IFERROR(__xludf.DUMMYFUNCTION("""COMPUTED_VALUE"""),0)</f>
        <v>0</v>
      </c>
      <c r="F79" s="2">
        <f ca="1">IFERROR(__xludf.DUMMYFUNCTION("""COMPUTED_VALUE"""),203)</f>
        <v>203</v>
      </c>
      <c r="G79" s="2">
        <f ca="1">IFERROR(__xludf.DUMMYFUNCTION("""COMPUTED_VALUE"""),477)</f>
        <v>477</v>
      </c>
      <c r="H79" s="2">
        <f ca="1">IFERROR(__xludf.DUMMYFUNCTION("""COMPUTED_VALUE"""),75)</f>
        <v>75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">
      <c r="A80" s="2">
        <f ca="1">IFERROR(__xludf.DUMMYFUNCTION("""COMPUTED_VALUE"""),141)</f>
        <v>141</v>
      </c>
      <c r="B80" s="2" t="str">
        <f ca="1">IFERROR(__xludf.DUMMYFUNCTION("""COMPUTED_VALUE"""),"Dagnis")</f>
        <v>Dagnis</v>
      </c>
      <c r="C80" s="2" t="str">
        <f ca="1">IFERROR(__xludf.DUMMYFUNCTION("""COMPUTED_VALUE"""),"Maiberg")</f>
        <v>Maiberg</v>
      </c>
      <c r="D80" s="2">
        <f ca="1">IFERROR(__xludf.DUMMYFUNCTION("""COMPUTED_VALUE"""),272)</f>
        <v>272</v>
      </c>
      <c r="E80" s="2">
        <f ca="1">IFERROR(__xludf.DUMMYFUNCTION("""COMPUTED_VALUE"""),0)</f>
        <v>0</v>
      </c>
      <c r="F80" s="2">
        <f ca="1">IFERROR(__xludf.DUMMYFUNCTION("""COMPUTED_VALUE"""),200)</f>
        <v>200</v>
      </c>
      <c r="G80" s="2">
        <f ca="1">IFERROR(__xludf.DUMMYFUNCTION("""COMPUTED_VALUE"""),472)</f>
        <v>472</v>
      </c>
      <c r="H80" s="2">
        <f ca="1">IFERROR(__xludf.DUMMYFUNCTION("""COMPUTED_VALUE"""),76)</f>
        <v>76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">
      <c r="A81" s="2">
        <f ca="1">IFERROR(__xludf.DUMMYFUNCTION("""COMPUTED_VALUE"""),149)</f>
        <v>149</v>
      </c>
      <c r="B81" s="2" t="str">
        <f ca="1">IFERROR(__xludf.DUMMYFUNCTION("""COMPUTED_VALUE"""),"Jaanus")</f>
        <v>Jaanus</v>
      </c>
      <c r="C81" s="2" t="str">
        <f ca="1">IFERROR(__xludf.DUMMYFUNCTION("""COMPUTED_VALUE"""),"Roos")</f>
        <v>Roos</v>
      </c>
      <c r="D81" s="2">
        <f ca="1">IFERROR(__xludf.DUMMYFUNCTION("""COMPUTED_VALUE"""),243)</f>
        <v>243</v>
      </c>
      <c r="E81" s="2">
        <f ca="1">IFERROR(__xludf.DUMMYFUNCTION("""COMPUTED_VALUE"""),0)</f>
        <v>0</v>
      </c>
      <c r="F81" s="2">
        <f ca="1">IFERROR(__xludf.DUMMYFUNCTION("""COMPUTED_VALUE"""),229)</f>
        <v>229</v>
      </c>
      <c r="G81" s="2">
        <f ca="1">IFERROR(__xludf.DUMMYFUNCTION("""COMPUTED_VALUE"""),472)</f>
        <v>472</v>
      </c>
      <c r="H81" s="2">
        <f ca="1">IFERROR(__xludf.DUMMYFUNCTION("""COMPUTED_VALUE"""),76)</f>
        <v>76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">
      <c r="A82" s="2">
        <f ca="1">IFERROR(__xludf.DUMMYFUNCTION("""COMPUTED_VALUE"""),136)</f>
        <v>136</v>
      </c>
      <c r="B82" s="2" t="str">
        <f ca="1">IFERROR(__xludf.DUMMYFUNCTION("""COMPUTED_VALUE"""),"Ants")</f>
        <v>Ants</v>
      </c>
      <c r="C82" s="2" t="str">
        <f ca="1">IFERROR(__xludf.DUMMYFUNCTION("""COMPUTED_VALUE"""),"Kronberg")</f>
        <v>Kronberg</v>
      </c>
      <c r="D82" s="2">
        <f ca="1">IFERROR(__xludf.DUMMYFUNCTION("""COMPUTED_VALUE"""),229)</f>
        <v>229</v>
      </c>
      <c r="E82" s="2">
        <f ca="1">IFERROR(__xludf.DUMMYFUNCTION("""COMPUTED_VALUE"""),0)</f>
        <v>0</v>
      </c>
      <c r="F82" s="2">
        <f ca="1">IFERROR(__xludf.DUMMYFUNCTION("""COMPUTED_VALUE"""),242)</f>
        <v>242</v>
      </c>
      <c r="G82" s="2">
        <f ca="1">IFERROR(__xludf.DUMMYFUNCTION("""COMPUTED_VALUE"""),471)</f>
        <v>471</v>
      </c>
      <c r="H82" s="2">
        <f ca="1">IFERROR(__xludf.DUMMYFUNCTION("""COMPUTED_VALUE"""),78)</f>
        <v>78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">
      <c r="A83" s="2">
        <f ca="1">IFERROR(__xludf.DUMMYFUNCTION("""COMPUTED_VALUE"""),72)</f>
        <v>72</v>
      </c>
      <c r="B83" s="2" t="str">
        <f ca="1">IFERROR(__xludf.DUMMYFUNCTION("""COMPUTED_VALUE"""),"Eha")</f>
        <v>Eha</v>
      </c>
      <c r="C83" s="2" t="str">
        <f ca="1">IFERROR(__xludf.DUMMYFUNCTION("""COMPUTED_VALUE"""),"Valdna")</f>
        <v>Valdna</v>
      </c>
      <c r="D83" s="2">
        <f ca="1">IFERROR(__xludf.DUMMYFUNCTION("""COMPUTED_VALUE"""),0)</f>
        <v>0</v>
      </c>
      <c r="E83" s="2">
        <f ca="1">IFERROR(__xludf.DUMMYFUNCTION("""COMPUTED_VALUE"""),266)</f>
        <v>266</v>
      </c>
      <c r="F83" s="2">
        <f ca="1">IFERROR(__xludf.DUMMYFUNCTION("""COMPUTED_VALUE"""),198)</f>
        <v>198</v>
      </c>
      <c r="G83" s="2">
        <f ca="1">IFERROR(__xludf.DUMMYFUNCTION("""COMPUTED_VALUE"""),464)</f>
        <v>464</v>
      </c>
      <c r="H83" s="2">
        <f ca="1">IFERROR(__xludf.DUMMYFUNCTION("""COMPUTED_VALUE"""),79)</f>
        <v>79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">
      <c r="A84" s="2">
        <f ca="1">IFERROR(__xludf.DUMMYFUNCTION("""COMPUTED_VALUE"""),147)</f>
        <v>147</v>
      </c>
      <c r="B84" s="2" t="str">
        <f ca="1">IFERROR(__xludf.DUMMYFUNCTION("""COMPUTED_VALUE"""),"Helen")</f>
        <v>Helen</v>
      </c>
      <c r="C84" s="2" t="str">
        <f ca="1">IFERROR(__xludf.DUMMYFUNCTION("""COMPUTED_VALUE"""),"Saal")</f>
        <v>Saal</v>
      </c>
      <c r="D84" s="2">
        <f ca="1">IFERROR(__xludf.DUMMYFUNCTION("""COMPUTED_VALUE"""),248)</f>
        <v>248</v>
      </c>
      <c r="E84" s="2">
        <f ca="1">IFERROR(__xludf.DUMMYFUNCTION("""COMPUTED_VALUE"""),0)</f>
        <v>0</v>
      </c>
      <c r="F84" s="2">
        <f ca="1">IFERROR(__xludf.DUMMYFUNCTION("""COMPUTED_VALUE"""),213)</f>
        <v>213</v>
      </c>
      <c r="G84" s="2">
        <f ca="1">IFERROR(__xludf.DUMMYFUNCTION("""COMPUTED_VALUE"""),461)</f>
        <v>461</v>
      </c>
      <c r="H84" s="2">
        <f ca="1">IFERROR(__xludf.DUMMYFUNCTION("""COMPUTED_VALUE"""),80)</f>
        <v>80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">
      <c r="A85" s="2">
        <f ca="1">IFERROR(__xludf.DUMMYFUNCTION("""COMPUTED_VALUE"""),94)</f>
        <v>94</v>
      </c>
      <c r="B85" s="2" t="str">
        <f ca="1">IFERROR(__xludf.DUMMYFUNCTION("""COMPUTED_VALUE"""),"Martin")</f>
        <v>Martin</v>
      </c>
      <c r="C85" s="2" t="str">
        <f ca="1">IFERROR(__xludf.DUMMYFUNCTION("""COMPUTED_VALUE"""),"Valk")</f>
        <v>Valk</v>
      </c>
      <c r="D85" s="2">
        <f ca="1">IFERROR(__xludf.DUMMYFUNCTION("""COMPUTED_VALUE"""),0)</f>
        <v>0</v>
      </c>
      <c r="E85" s="2">
        <f ca="1">IFERROR(__xludf.DUMMYFUNCTION("""COMPUTED_VALUE"""),253)</f>
        <v>253</v>
      </c>
      <c r="F85" s="2">
        <f ca="1">IFERROR(__xludf.DUMMYFUNCTION("""COMPUTED_VALUE"""),201)</f>
        <v>201</v>
      </c>
      <c r="G85" s="2">
        <f ca="1">IFERROR(__xludf.DUMMYFUNCTION("""COMPUTED_VALUE"""),454)</f>
        <v>454</v>
      </c>
      <c r="H85" s="2">
        <f ca="1">IFERROR(__xludf.DUMMYFUNCTION("""COMPUTED_VALUE"""),81)</f>
        <v>81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">
      <c r="A86" s="2">
        <f ca="1">IFERROR(__xludf.DUMMYFUNCTION("""COMPUTED_VALUE"""),45)</f>
        <v>45</v>
      </c>
      <c r="B86" s="2" t="str">
        <f ca="1">IFERROR(__xludf.DUMMYFUNCTION("""COMPUTED_VALUE"""),"Lemme")</f>
        <v>Lemme</v>
      </c>
      <c r="C86" s="2" t="str">
        <f ca="1">IFERROR(__xludf.DUMMYFUNCTION("""COMPUTED_VALUE"""),"Berkis")</f>
        <v>Berkis</v>
      </c>
      <c r="D86" s="2">
        <f ca="1">IFERROR(__xludf.DUMMYFUNCTION("""COMPUTED_VALUE"""),0)</f>
        <v>0</v>
      </c>
      <c r="E86" s="2">
        <f ca="1">IFERROR(__xludf.DUMMYFUNCTION("""COMPUTED_VALUE"""),235)</f>
        <v>235</v>
      </c>
      <c r="F86" s="2">
        <f ca="1">IFERROR(__xludf.DUMMYFUNCTION("""COMPUTED_VALUE"""),218)</f>
        <v>218</v>
      </c>
      <c r="G86" s="2">
        <f ca="1">IFERROR(__xludf.DUMMYFUNCTION("""COMPUTED_VALUE"""),453)</f>
        <v>453</v>
      </c>
      <c r="H86" s="2">
        <f ca="1">IFERROR(__xludf.DUMMYFUNCTION("""COMPUTED_VALUE"""),82)</f>
        <v>82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">
      <c r="A87" s="2">
        <f ca="1">IFERROR(__xludf.DUMMYFUNCTION("""COMPUTED_VALUE"""),63)</f>
        <v>63</v>
      </c>
      <c r="B87" s="2" t="str">
        <f ca="1">IFERROR(__xludf.DUMMYFUNCTION("""COMPUTED_VALUE"""),"Linda")</f>
        <v>Linda</v>
      </c>
      <c r="C87" s="2" t="str">
        <f ca="1">IFERROR(__xludf.DUMMYFUNCTION("""COMPUTED_VALUE"""),"Pärn")</f>
        <v>Pärn</v>
      </c>
      <c r="D87" s="2">
        <f ca="1">IFERROR(__xludf.DUMMYFUNCTION("""COMPUTED_VALUE"""),0)</f>
        <v>0</v>
      </c>
      <c r="E87" s="2">
        <f ca="1">IFERROR(__xludf.DUMMYFUNCTION("""COMPUTED_VALUE"""),273)</f>
        <v>273</v>
      </c>
      <c r="F87" s="2">
        <f ca="1">IFERROR(__xludf.DUMMYFUNCTION("""COMPUTED_VALUE"""),180)</f>
        <v>180</v>
      </c>
      <c r="G87" s="2">
        <f ca="1">IFERROR(__xludf.DUMMYFUNCTION("""COMPUTED_VALUE"""),453)</f>
        <v>453</v>
      </c>
      <c r="H87" s="2">
        <f ca="1">IFERROR(__xludf.DUMMYFUNCTION("""COMPUTED_VALUE"""),82)</f>
        <v>82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">
      <c r="A88" s="2">
        <f ca="1">IFERROR(__xludf.DUMMYFUNCTION("""COMPUTED_VALUE"""),30)</f>
        <v>30</v>
      </c>
      <c r="B88" s="2" t="str">
        <f ca="1">IFERROR(__xludf.DUMMYFUNCTION("""COMPUTED_VALUE"""),"Daimar")</f>
        <v>Daimar</v>
      </c>
      <c r="C88" s="2" t="str">
        <f ca="1">IFERROR(__xludf.DUMMYFUNCTION("""COMPUTED_VALUE"""),"Liiv")</f>
        <v>Liiv</v>
      </c>
      <c r="D88" s="2">
        <f ca="1">IFERROR(__xludf.DUMMYFUNCTION("""COMPUTED_VALUE"""),0)</f>
        <v>0</v>
      </c>
      <c r="E88" s="2">
        <f ca="1">IFERROR(__xludf.DUMMYFUNCTION("""COMPUTED_VALUE"""),251)</f>
        <v>251</v>
      </c>
      <c r="F88" s="2">
        <f ca="1">IFERROR(__xludf.DUMMYFUNCTION("""COMPUTED_VALUE"""),201)</f>
        <v>201</v>
      </c>
      <c r="G88" s="2">
        <f ca="1">IFERROR(__xludf.DUMMYFUNCTION("""COMPUTED_VALUE"""),452)</f>
        <v>452</v>
      </c>
      <c r="H88" s="2">
        <f ca="1">IFERROR(__xludf.DUMMYFUNCTION("""COMPUTED_VALUE"""),84)</f>
        <v>84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">
      <c r="A89" s="2">
        <f ca="1">IFERROR(__xludf.DUMMYFUNCTION("""COMPUTED_VALUE"""),112)</f>
        <v>112</v>
      </c>
      <c r="B89" s="2" t="str">
        <f ca="1">IFERROR(__xludf.DUMMYFUNCTION("""COMPUTED_VALUE"""),"Silver")</f>
        <v>Silver</v>
      </c>
      <c r="C89" s="2" t="str">
        <f ca="1">IFERROR(__xludf.DUMMYFUNCTION("""COMPUTED_VALUE"""),"Kindsigo")</f>
        <v>Kindsigo</v>
      </c>
      <c r="D89" s="2">
        <f ca="1">IFERROR(__xludf.DUMMYFUNCTION("""COMPUTED_VALUE"""),0)</f>
        <v>0</v>
      </c>
      <c r="E89" s="2">
        <f ca="1">IFERROR(__xludf.DUMMYFUNCTION("""COMPUTED_VALUE"""),254)</f>
        <v>254</v>
      </c>
      <c r="F89" s="2">
        <f ca="1">IFERROR(__xludf.DUMMYFUNCTION("""COMPUTED_VALUE"""),198)</f>
        <v>198</v>
      </c>
      <c r="G89" s="2">
        <f ca="1">IFERROR(__xludf.DUMMYFUNCTION("""COMPUTED_VALUE"""),452)</f>
        <v>452</v>
      </c>
      <c r="H89" s="2">
        <f ca="1">IFERROR(__xludf.DUMMYFUNCTION("""COMPUTED_VALUE"""),84)</f>
        <v>84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">
      <c r="A90" s="2">
        <f ca="1">IFERROR(__xludf.DUMMYFUNCTION("""COMPUTED_VALUE"""),89)</f>
        <v>89</v>
      </c>
      <c r="B90" s="2" t="str">
        <f ca="1">IFERROR(__xludf.DUMMYFUNCTION("""COMPUTED_VALUE"""),"Oksana")</f>
        <v>Oksana</v>
      </c>
      <c r="C90" s="2" t="str">
        <f ca="1">IFERROR(__xludf.DUMMYFUNCTION("""COMPUTED_VALUE"""),"Leesik")</f>
        <v>Leesik</v>
      </c>
      <c r="D90" s="2">
        <f ca="1">IFERROR(__xludf.DUMMYFUNCTION("""COMPUTED_VALUE"""),0)</f>
        <v>0</v>
      </c>
      <c r="E90" s="2">
        <f ca="1">IFERROR(__xludf.DUMMYFUNCTION("""COMPUTED_VALUE"""),247)</f>
        <v>247</v>
      </c>
      <c r="F90" s="2">
        <f ca="1">IFERROR(__xludf.DUMMYFUNCTION("""COMPUTED_VALUE"""),204)</f>
        <v>204</v>
      </c>
      <c r="G90" s="2">
        <f ca="1">IFERROR(__xludf.DUMMYFUNCTION("""COMPUTED_VALUE"""),451)</f>
        <v>451</v>
      </c>
      <c r="H90" s="2">
        <f ca="1">IFERROR(__xludf.DUMMYFUNCTION("""COMPUTED_VALUE"""),86)</f>
        <v>86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">
      <c r="A91" s="2">
        <f ca="1">IFERROR(__xludf.DUMMYFUNCTION("""COMPUTED_VALUE"""),119)</f>
        <v>119</v>
      </c>
      <c r="B91" s="2" t="str">
        <f ca="1">IFERROR(__xludf.DUMMYFUNCTION("""COMPUTED_VALUE"""),"Rando")</f>
        <v>Rando</v>
      </c>
      <c r="C91" s="2" t="str">
        <f ca="1">IFERROR(__xludf.DUMMYFUNCTION("""COMPUTED_VALUE"""),"Köster")</f>
        <v>Köster</v>
      </c>
      <c r="D91" s="2">
        <f ca="1">IFERROR(__xludf.DUMMYFUNCTION("""COMPUTED_VALUE"""),0)</f>
        <v>0</v>
      </c>
      <c r="E91" s="2">
        <f ca="1">IFERROR(__xludf.DUMMYFUNCTION("""COMPUTED_VALUE"""),219)</f>
        <v>219</v>
      </c>
      <c r="F91" s="2">
        <f ca="1">IFERROR(__xludf.DUMMYFUNCTION("""COMPUTED_VALUE"""),232)</f>
        <v>232</v>
      </c>
      <c r="G91" s="2">
        <f ca="1">IFERROR(__xludf.DUMMYFUNCTION("""COMPUTED_VALUE"""),451)</f>
        <v>451</v>
      </c>
      <c r="H91" s="2">
        <f ca="1">IFERROR(__xludf.DUMMYFUNCTION("""COMPUTED_VALUE"""),86)</f>
        <v>86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">
      <c r="A92" s="2">
        <f ca="1">IFERROR(__xludf.DUMMYFUNCTION("""COMPUTED_VALUE"""),77)</f>
        <v>77</v>
      </c>
      <c r="B92" s="2" t="str">
        <f ca="1">IFERROR(__xludf.DUMMYFUNCTION("""COMPUTED_VALUE"""),"Vahur")</f>
        <v>Vahur</v>
      </c>
      <c r="C92" s="2" t="str">
        <f ca="1">IFERROR(__xludf.DUMMYFUNCTION("""COMPUTED_VALUE"""),"Saaremets")</f>
        <v>Saaremets</v>
      </c>
      <c r="D92" s="2">
        <f ca="1">IFERROR(__xludf.DUMMYFUNCTION("""COMPUTED_VALUE"""),0)</f>
        <v>0</v>
      </c>
      <c r="E92" s="2">
        <f ca="1">IFERROR(__xludf.DUMMYFUNCTION("""COMPUTED_VALUE"""),250)</f>
        <v>250</v>
      </c>
      <c r="F92" s="2">
        <f ca="1">IFERROR(__xludf.DUMMYFUNCTION("""COMPUTED_VALUE"""),200)</f>
        <v>200</v>
      </c>
      <c r="G92" s="2">
        <f ca="1">IFERROR(__xludf.DUMMYFUNCTION("""COMPUTED_VALUE"""),450)</f>
        <v>450</v>
      </c>
      <c r="H92" s="2">
        <f ca="1">IFERROR(__xludf.DUMMYFUNCTION("""COMPUTED_VALUE"""),88)</f>
        <v>88</v>
      </c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">
      <c r="A93" s="2">
        <f ca="1">IFERROR(__xludf.DUMMYFUNCTION("""COMPUTED_VALUE"""),99)</f>
        <v>99</v>
      </c>
      <c r="B93" s="2" t="str">
        <f ca="1">IFERROR(__xludf.DUMMYFUNCTION("""COMPUTED_VALUE"""),"Hindrek")</f>
        <v>Hindrek</v>
      </c>
      <c r="C93" s="2" t="str">
        <f ca="1">IFERROR(__xludf.DUMMYFUNCTION("""COMPUTED_VALUE"""),"Lootus")</f>
        <v>Lootus</v>
      </c>
      <c r="D93" s="2">
        <f ca="1">IFERROR(__xludf.DUMMYFUNCTION("""COMPUTED_VALUE"""),243)</f>
        <v>243</v>
      </c>
      <c r="E93" s="2">
        <f ca="1">IFERROR(__xludf.DUMMYFUNCTION("""COMPUTED_VALUE"""),207)</f>
        <v>207</v>
      </c>
      <c r="F93" s="2">
        <f ca="1">IFERROR(__xludf.DUMMYFUNCTION("""COMPUTED_VALUE"""),0)</f>
        <v>0</v>
      </c>
      <c r="G93" s="2">
        <f ca="1">IFERROR(__xludf.DUMMYFUNCTION("""COMPUTED_VALUE"""),450)</f>
        <v>450</v>
      </c>
      <c r="H93" s="2">
        <f ca="1">IFERROR(__xludf.DUMMYFUNCTION("""COMPUTED_VALUE"""),88)</f>
        <v>88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">
      <c r="A94" s="2">
        <f ca="1">IFERROR(__xludf.DUMMYFUNCTION("""COMPUTED_VALUE"""),57)</f>
        <v>57</v>
      </c>
      <c r="B94" s="2" t="str">
        <f ca="1">IFERROR(__xludf.DUMMYFUNCTION("""COMPUTED_VALUE"""),"Toomas")</f>
        <v>Toomas</v>
      </c>
      <c r="C94" s="2" t="str">
        <f ca="1">IFERROR(__xludf.DUMMYFUNCTION("""COMPUTED_VALUE"""),"Taimre")</f>
        <v>Taimre</v>
      </c>
      <c r="D94" s="2">
        <f ca="1">IFERROR(__xludf.DUMMYFUNCTION("""COMPUTED_VALUE"""),0)</f>
        <v>0</v>
      </c>
      <c r="E94" s="2">
        <f ca="1">IFERROR(__xludf.DUMMYFUNCTION("""COMPUTED_VALUE"""),260)</f>
        <v>260</v>
      </c>
      <c r="F94" s="2">
        <f ca="1">IFERROR(__xludf.DUMMYFUNCTION("""COMPUTED_VALUE"""),188)</f>
        <v>188</v>
      </c>
      <c r="G94" s="2">
        <f ca="1">IFERROR(__xludf.DUMMYFUNCTION("""COMPUTED_VALUE"""),448)</f>
        <v>448</v>
      </c>
      <c r="H94" s="2">
        <f ca="1">IFERROR(__xludf.DUMMYFUNCTION("""COMPUTED_VALUE"""),90)</f>
        <v>90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">
      <c r="A95" s="2">
        <f ca="1">IFERROR(__xludf.DUMMYFUNCTION("""COMPUTED_VALUE"""),6)</f>
        <v>6</v>
      </c>
      <c r="B95" s="2" t="str">
        <f ca="1">IFERROR(__xludf.DUMMYFUNCTION("""COMPUTED_VALUE"""),"Avo")</f>
        <v>Avo</v>
      </c>
      <c r="C95" s="2" t="str">
        <f ca="1">IFERROR(__xludf.DUMMYFUNCTION("""COMPUTED_VALUE"""),"Aljas")</f>
        <v>Aljas</v>
      </c>
      <c r="D95" s="2">
        <f ca="1">IFERROR(__xludf.DUMMYFUNCTION("""COMPUTED_VALUE"""),263)</f>
        <v>263</v>
      </c>
      <c r="E95" s="2">
        <f ca="1">IFERROR(__xludf.DUMMYFUNCTION("""COMPUTED_VALUE"""),0)</f>
        <v>0</v>
      </c>
      <c r="F95" s="2">
        <f ca="1">IFERROR(__xludf.DUMMYFUNCTION("""COMPUTED_VALUE"""),184)</f>
        <v>184</v>
      </c>
      <c r="G95" s="2">
        <f ca="1">IFERROR(__xludf.DUMMYFUNCTION("""COMPUTED_VALUE"""),447)</f>
        <v>447</v>
      </c>
      <c r="H95" s="2">
        <f ca="1">IFERROR(__xludf.DUMMYFUNCTION("""COMPUTED_VALUE"""),91)</f>
        <v>91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">
      <c r="A96" s="2">
        <f ca="1">IFERROR(__xludf.DUMMYFUNCTION("""COMPUTED_VALUE"""),52)</f>
        <v>52</v>
      </c>
      <c r="B96" s="2" t="str">
        <f ca="1">IFERROR(__xludf.DUMMYFUNCTION("""COMPUTED_VALUE"""),"Ele")</f>
        <v>Ele</v>
      </c>
      <c r="C96" s="2" t="str">
        <f ca="1">IFERROR(__xludf.DUMMYFUNCTION("""COMPUTED_VALUE"""),"Lehes")</f>
        <v>Lehes</v>
      </c>
      <c r="D96" s="2">
        <f ca="1">IFERROR(__xludf.DUMMYFUNCTION("""COMPUTED_VALUE"""),0)</f>
        <v>0</v>
      </c>
      <c r="E96" s="2">
        <f ca="1">IFERROR(__xludf.DUMMYFUNCTION("""COMPUTED_VALUE"""),240)</f>
        <v>240</v>
      </c>
      <c r="F96" s="2">
        <f ca="1">IFERROR(__xludf.DUMMYFUNCTION("""COMPUTED_VALUE"""),205)</f>
        <v>205</v>
      </c>
      <c r="G96" s="2">
        <f ca="1">IFERROR(__xludf.DUMMYFUNCTION("""COMPUTED_VALUE"""),445)</f>
        <v>445</v>
      </c>
      <c r="H96" s="2">
        <f ca="1">IFERROR(__xludf.DUMMYFUNCTION("""COMPUTED_VALUE"""),92)</f>
        <v>92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">
      <c r="A97" s="2">
        <f ca="1">IFERROR(__xludf.DUMMYFUNCTION("""COMPUTED_VALUE"""),85)</f>
        <v>85</v>
      </c>
      <c r="B97" s="2" t="str">
        <f ca="1">IFERROR(__xludf.DUMMYFUNCTION("""COMPUTED_VALUE"""),"Argo")</f>
        <v>Argo</v>
      </c>
      <c r="C97" s="2" t="str">
        <f ca="1">IFERROR(__xludf.DUMMYFUNCTION("""COMPUTED_VALUE"""),"Park")</f>
        <v>Park</v>
      </c>
      <c r="D97" s="2">
        <f ca="1">IFERROR(__xludf.DUMMYFUNCTION("""COMPUTED_VALUE"""),0)</f>
        <v>0</v>
      </c>
      <c r="E97" s="2">
        <f ca="1">IFERROR(__xludf.DUMMYFUNCTION("""COMPUTED_VALUE"""),251)</f>
        <v>251</v>
      </c>
      <c r="F97" s="2">
        <f ca="1">IFERROR(__xludf.DUMMYFUNCTION("""COMPUTED_VALUE"""),192)</f>
        <v>192</v>
      </c>
      <c r="G97" s="2">
        <f ca="1">IFERROR(__xludf.DUMMYFUNCTION("""COMPUTED_VALUE"""),443)</f>
        <v>443</v>
      </c>
      <c r="H97" s="2">
        <f ca="1">IFERROR(__xludf.DUMMYFUNCTION("""COMPUTED_VALUE"""),93)</f>
        <v>93</v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">
      <c r="A98" s="2">
        <f ca="1">IFERROR(__xludf.DUMMYFUNCTION("""COMPUTED_VALUE"""),54)</f>
        <v>54</v>
      </c>
      <c r="B98" s="2" t="str">
        <f ca="1">IFERROR(__xludf.DUMMYFUNCTION("""COMPUTED_VALUE"""),"Ivar")</f>
        <v>Ivar</v>
      </c>
      <c r="C98" s="2" t="str">
        <f ca="1">IFERROR(__xludf.DUMMYFUNCTION("""COMPUTED_VALUE"""),"Siidirätsep")</f>
        <v>Siidirätsep</v>
      </c>
      <c r="D98" s="2">
        <f ca="1">IFERROR(__xludf.DUMMYFUNCTION("""COMPUTED_VALUE"""),0)</f>
        <v>0</v>
      </c>
      <c r="E98" s="2">
        <f ca="1">IFERROR(__xludf.DUMMYFUNCTION("""COMPUTED_VALUE"""),274)</f>
        <v>274</v>
      </c>
      <c r="F98" s="2">
        <f ca="1">IFERROR(__xludf.DUMMYFUNCTION("""COMPUTED_VALUE"""),165)</f>
        <v>165</v>
      </c>
      <c r="G98" s="2">
        <f ca="1">IFERROR(__xludf.DUMMYFUNCTION("""COMPUTED_VALUE"""),439)</f>
        <v>439</v>
      </c>
      <c r="H98" s="2">
        <f ca="1">IFERROR(__xludf.DUMMYFUNCTION("""COMPUTED_VALUE"""),94)</f>
        <v>94</v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">
      <c r="A99" s="2">
        <f ca="1">IFERROR(__xludf.DUMMYFUNCTION("""COMPUTED_VALUE"""),131)</f>
        <v>131</v>
      </c>
      <c r="B99" s="2" t="str">
        <f ca="1">IFERROR(__xludf.DUMMYFUNCTION("""COMPUTED_VALUE"""),"Ants")</f>
        <v>Ants</v>
      </c>
      <c r="C99" s="2" t="str">
        <f ca="1">IFERROR(__xludf.DUMMYFUNCTION("""COMPUTED_VALUE"""),"Prii")</f>
        <v>Prii</v>
      </c>
      <c r="D99" s="2">
        <f ca="1">IFERROR(__xludf.DUMMYFUNCTION("""COMPUTED_VALUE"""),225)</f>
        <v>225</v>
      </c>
      <c r="E99" s="2">
        <f ca="1">IFERROR(__xludf.DUMMYFUNCTION("""COMPUTED_VALUE"""),0)</f>
        <v>0</v>
      </c>
      <c r="F99" s="2">
        <f ca="1">IFERROR(__xludf.DUMMYFUNCTION("""COMPUTED_VALUE"""),207)</f>
        <v>207</v>
      </c>
      <c r="G99" s="2">
        <f ca="1">IFERROR(__xludf.DUMMYFUNCTION("""COMPUTED_VALUE"""),432)</f>
        <v>432</v>
      </c>
      <c r="H99" s="2">
        <f ca="1">IFERROR(__xludf.DUMMYFUNCTION("""COMPUTED_VALUE"""),95)</f>
        <v>95</v>
      </c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">
      <c r="A100" s="2">
        <f ca="1">IFERROR(__xludf.DUMMYFUNCTION("""COMPUTED_VALUE"""),98)</f>
        <v>98</v>
      </c>
      <c r="B100" s="2" t="str">
        <f ca="1">IFERROR(__xludf.DUMMYFUNCTION("""COMPUTED_VALUE"""),"Rainis")</f>
        <v>Rainis</v>
      </c>
      <c r="C100" s="2" t="str">
        <f ca="1">IFERROR(__xludf.DUMMYFUNCTION("""COMPUTED_VALUE"""),"Kukispuu")</f>
        <v>Kukispuu</v>
      </c>
      <c r="D100" s="2">
        <f ca="1">IFERROR(__xludf.DUMMYFUNCTION("""COMPUTED_VALUE"""),0)</f>
        <v>0</v>
      </c>
      <c r="E100" s="2">
        <f ca="1">IFERROR(__xludf.DUMMYFUNCTION("""COMPUTED_VALUE"""),226)</f>
        <v>226</v>
      </c>
      <c r="F100" s="2">
        <f ca="1">IFERROR(__xludf.DUMMYFUNCTION("""COMPUTED_VALUE"""),201)</f>
        <v>201</v>
      </c>
      <c r="G100" s="2">
        <f ca="1">IFERROR(__xludf.DUMMYFUNCTION("""COMPUTED_VALUE"""),427)</f>
        <v>427</v>
      </c>
      <c r="H100" s="2">
        <f ca="1">IFERROR(__xludf.DUMMYFUNCTION("""COMPUTED_VALUE"""),96)</f>
        <v>96</v>
      </c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">
      <c r="A101" s="2">
        <f ca="1">IFERROR(__xludf.DUMMYFUNCTION("""COMPUTED_VALUE"""),201)</f>
        <v>201</v>
      </c>
      <c r="B101" s="2" t="str">
        <f ca="1">IFERROR(__xludf.DUMMYFUNCTION("""COMPUTED_VALUE"""),"Avo")</f>
        <v>Avo</v>
      </c>
      <c r="C101" s="2" t="str">
        <f ca="1">IFERROR(__xludf.DUMMYFUNCTION("""COMPUTED_VALUE"""),"Sipelgas")</f>
        <v>Sipelgas</v>
      </c>
      <c r="D101" s="2">
        <f ca="1">IFERROR(__xludf.DUMMYFUNCTION("""COMPUTED_VALUE"""),182)</f>
        <v>182</v>
      </c>
      <c r="E101" s="2">
        <f ca="1">IFERROR(__xludf.DUMMYFUNCTION("""COMPUTED_VALUE"""),239)</f>
        <v>239</v>
      </c>
      <c r="F101" s="2" t="str">
        <f ca="1">IFERROR(__xludf.DUMMYFUNCTION("""COMPUTED_VALUE"""),"")</f>
        <v/>
      </c>
      <c r="G101" s="2">
        <f ca="1">IFERROR(__xludf.DUMMYFUNCTION("""COMPUTED_VALUE"""),421)</f>
        <v>421</v>
      </c>
      <c r="H101" s="2">
        <f ca="1">IFERROR(__xludf.DUMMYFUNCTION("""COMPUTED_VALUE"""),97)</f>
        <v>97</v>
      </c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">
      <c r="A102" s="2">
        <f ca="1">IFERROR(__xludf.DUMMYFUNCTION("""COMPUTED_VALUE"""),23)</f>
        <v>23</v>
      </c>
      <c r="B102" s="2" t="str">
        <f ca="1">IFERROR(__xludf.DUMMYFUNCTION("""COMPUTED_VALUE"""),"Anu")</f>
        <v>Anu</v>
      </c>
      <c r="C102" s="2" t="str">
        <f ca="1">IFERROR(__xludf.DUMMYFUNCTION("""COMPUTED_VALUE"""),"Asu")</f>
        <v>Asu</v>
      </c>
      <c r="D102" s="2">
        <f ca="1">IFERROR(__xludf.DUMMYFUNCTION("""COMPUTED_VALUE"""),240)</f>
        <v>240</v>
      </c>
      <c r="E102" s="2">
        <f ca="1">IFERROR(__xludf.DUMMYFUNCTION("""COMPUTED_VALUE"""),0)</f>
        <v>0</v>
      </c>
      <c r="F102" s="2">
        <f ca="1">IFERROR(__xludf.DUMMYFUNCTION("""COMPUTED_VALUE"""),180)</f>
        <v>180</v>
      </c>
      <c r="G102" s="2">
        <f ca="1">IFERROR(__xludf.DUMMYFUNCTION("""COMPUTED_VALUE"""),420)</f>
        <v>420</v>
      </c>
      <c r="H102" s="2">
        <f ca="1">IFERROR(__xludf.DUMMYFUNCTION("""COMPUTED_VALUE"""),98)</f>
        <v>98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">
      <c r="A103" s="2">
        <f ca="1">IFERROR(__xludf.DUMMYFUNCTION("""COMPUTED_VALUE"""),137)</f>
        <v>137</v>
      </c>
      <c r="B103" s="2" t="str">
        <f ca="1">IFERROR(__xludf.DUMMYFUNCTION("""COMPUTED_VALUE"""),"Kristjan")</f>
        <v>Kristjan</v>
      </c>
      <c r="C103" s="2" t="str">
        <f ca="1">IFERROR(__xludf.DUMMYFUNCTION("""COMPUTED_VALUE"""),"Saaremets")</f>
        <v>Saaremets</v>
      </c>
      <c r="D103" s="2">
        <f ca="1">IFERROR(__xludf.DUMMYFUNCTION("""COMPUTED_VALUE"""),246)</f>
        <v>246</v>
      </c>
      <c r="E103" s="2">
        <f ca="1">IFERROR(__xludf.DUMMYFUNCTION("""COMPUTED_VALUE"""),0)</f>
        <v>0</v>
      </c>
      <c r="F103" s="2">
        <f ca="1">IFERROR(__xludf.DUMMYFUNCTION("""COMPUTED_VALUE"""),172)</f>
        <v>172</v>
      </c>
      <c r="G103" s="2">
        <f ca="1">IFERROR(__xludf.DUMMYFUNCTION("""COMPUTED_VALUE"""),418)</f>
        <v>418</v>
      </c>
      <c r="H103" s="2">
        <f ca="1">IFERROR(__xludf.DUMMYFUNCTION("""COMPUTED_VALUE"""),99)</f>
        <v>99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">
      <c r="A104" s="2">
        <f ca="1">IFERROR(__xludf.DUMMYFUNCTION("""COMPUTED_VALUE"""),93)</f>
        <v>93</v>
      </c>
      <c r="B104" s="2" t="str">
        <f ca="1">IFERROR(__xludf.DUMMYFUNCTION("""COMPUTED_VALUE"""),"Andri")</f>
        <v>Andri</v>
      </c>
      <c r="C104" s="2" t="str">
        <f ca="1">IFERROR(__xludf.DUMMYFUNCTION("""COMPUTED_VALUE"""),"Tenson")</f>
        <v>Tenson</v>
      </c>
      <c r="D104" s="2">
        <f ca="1">IFERROR(__xludf.DUMMYFUNCTION("""COMPUTED_VALUE"""),0)</f>
        <v>0</v>
      </c>
      <c r="E104" s="2">
        <f ca="1">IFERROR(__xludf.DUMMYFUNCTION("""COMPUTED_VALUE"""),236)</f>
        <v>236</v>
      </c>
      <c r="F104" s="2">
        <f ca="1">IFERROR(__xludf.DUMMYFUNCTION("""COMPUTED_VALUE"""),177)</f>
        <v>177</v>
      </c>
      <c r="G104" s="2">
        <f ca="1">IFERROR(__xludf.DUMMYFUNCTION("""COMPUTED_VALUE"""),413)</f>
        <v>413</v>
      </c>
      <c r="H104" s="2">
        <f ca="1">IFERROR(__xludf.DUMMYFUNCTION("""COMPUTED_VALUE"""),100)</f>
        <v>100</v>
      </c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">
      <c r="A105" s="2">
        <f ca="1">IFERROR(__xludf.DUMMYFUNCTION("""COMPUTED_VALUE"""),44)</f>
        <v>44</v>
      </c>
      <c r="B105" s="2" t="str">
        <f ca="1">IFERROR(__xludf.DUMMYFUNCTION("""COMPUTED_VALUE"""),"Jaanus")</f>
        <v>Jaanus</v>
      </c>
      <c r="C105" s="2" t="str">
        <f ca="1">IFERROR(__xludf.DUMMYFUNCTION("""COMPUTED_VALUE"""),"Vassil")</f>
        <v>Vassil</v>
      </c>
      <c r="D105" s="2">
        <f ca="1">IFERROR(__xludf.DUMMYFUNCTION("""COMPUTED_VALUE"""),0)</f>
        <v>0</v>
      </c>
      <c r="E105" s="2">
        <f ca="1">IFERROR(__xludf.DUMMYFUNCTION("""COMPUTED_VALUE"""),239)</f>
        <v>239</v>
      </c>
      <c r="F105" s="2">
        <f ca="1">IFERROR(__xludf.DUMMYFUNCTION("""COMPUTED_VALUE"""),167)</f>
        <v>167</v>
      </c>
      <c r="G105" s="2">
        <f ca="1">IFERROR(__xludf.DUMMYFUNCTION("""COMPUTED_VALUE"""),406)</f>
        <v>406</v>
      </c>
      <c r="H105" s="2">
        <f ca="1">IFERROR(__xludf.DUMMYFUNCTION("""COMPUTED_VALUE"""),101)</f>
        <v>101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">
      <c r="A106" s="2">
        <f ca="1">IFERROR(__xludf.DUMMYFUNCTION("""COMPUTED_VALUE"""),123)</f>
        <v>123</v>
      </c>
      <c r="B106" s="2" t="str">
        <f ca="1">IFERROR(__xludf.DUMMYFUNCTION("""COMPUTED_VALUE"""),"Kristina")</f>
        <v>Kristina</v>
      </c>
      <c r="C106" s="2" t="str">
        <f ca="1">IFERROR(__xludf.DUMMYFUNCTION("""COMPUTED_VALUE"""),"Kahr")</f>
        <v>Kahr</v>
      </c>
      <c r="D106" s="2">
        <f ca="1">IFERROR(__xludf.DUMMYFUNCTION("""COMPUTED_VALUE"""),0)</f>
        <v>0</v>
      </c>
      <c r="E106" s="2">
        <f ca="1">IFERROR(__xludf.DUMMYFUNCTION("""COMPUTED_VALUE"""),238)</f>
        <v>238</v>
      </c>
      <c r="F106" s="2">
        <f ca="1">IFERROR(__xludf.DUMMYFUNCTION("""COMPUTED_VALUE"""),168)</f>
        <v>168</v>
      </c>
      <c r="G106" s="2">
        <f ca="1">IFERROR(__xludf.DUMMYFUNCTION("""COMPUTED_VALUE"""),406)</f>
        <v>406</v>
      </c>
      <c r="H106" s="2">
        <f ca="1">IFERROR(__xludf.DUMMYFUNCTION("""COMPUTED_VALUE"""),101)</f>
        <v>101</v>
      </c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">
      <c r="A107" s="2">
        <f ca="1">IFERROR(__xludf.DUMMYFUNCTION("""COMPUTED_VALUE"""),110)</f>
        <v>110</v>
      </c>
      <c r="B107" s="2" t="str">
        <f ca="1">IFERROR(__xludf.DUMMYFUNCTION("""COMPUTED_VALUE"""),"Janek")</f>
        <v>Janek</v>
      </c>
      <c r="C107" s="2" t="str">
        <f ca="1">IFERROR(__xludf.DUMMYFUNCTION("""COMPUTED_VALUE"""),"Käi")</f>
        <v>Käi</v>
      </c>
      <c r="D107" s="2">
        <f ca="1">IFERROR(__xludf.DUMMYFUNCTION("""COMPUTED_VALUE"""),0)</f>
        <v>0</v>
      </c>
      <c r="E107" s="2">
        <f ca="1">IFERROR(__xludf.DUMMYFUNCTION("""COMPUTED_VALUE"""),224)</f>
        <v>224</v>
      </c>
      <c r="F107" s="2">
        <f ca="1">IFERROR(__xludf.DUMMYFUNCTION("""COMPUTED_VALUE"""),180)</f>
        <v>180</v>
      </c>
      <c r="G107" s="2">
        <f ca="1">IFERROR(__xludf.DUMMYFUNCTION("""COMPUTED_VALUE"""),404)</f>
        <v>404</v>
      </c>
      <c r="H107" s="2">
        <f ca="1">IFERROR(__xludf.DUMMYFUNCTION("""COMPUTED_VALUE"""),103)</f>
        <v>103</v>
      </c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">
      <c r="A108" s="2">
        <f ca="1">IFERROR(__xludf.DUMMYFUNCTION("""COMPUTED_VALUE"""),96)</f>
        <v>96</v>
      </c>
      <c r="B108" s="2" t="str">
        <f ca="1">IFERROR(__xludf.DUMMYFUNCTION("""COMPUTED_VALUE"""),"Irina")</f>
        <v>Irina</v>
      </c>
      <c r="C108" s="2" t="str">
        <f ca="1">IFERROR(__xludf.DUMMYFUNCTION("""COMPUTED_VALUE"""),"Fisina")</f>
        <v>Fisina</v>
      </c>
      <c r="D108" s="2">
        <f ca="1">IFERROR(__xludf.DUMMYFUNCTION("""COMPUTED_VALUE"""),0)</f>
        <v>0</v>
      </c>
      <c r="E108" s="2">
        <f ca="1">IFERROR(__xludf.DUMMYFUNCTION("""COMPUTED_VALUE"""),211)</f>
        <v>211</v>
      </c>
      <c r="F108" s="2">
        <f ca="1">IFERROR(__xludf.DUMMYFUNCTION("""COMPUTED_VALUE"""),182)</f>
        <v>182</v>
      </c>
      <c r="G108" s="2">
        <f ca="1">IFERROR(__xludf.DUMMYFUNCTION("""COMPUTED_VALUE"""),393)</f>
        <v>393</v>
      </c>
      <c r="H108" s="2">
        <f ca="1">IFERROR(__xludf.DUMMYFUNCTION("""COMPUTED_VALUE"""),104)</f>
        <v>104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">
      <c r="A109" s="2">
        <f ca="1">IFERROR(__xludf.DUMMYFUNCTION("""COMPUTED_VALUE"""),140)</f>
        <v>140</v>
      </c>
      <c r="B109" s="2" t="str">
        <f ca="1">IFERROR(__xludf.DUMMYFUNCTION("""COMPUTED_VALUE"""),"Kristel")</f>
        <v>Kristel</v>
      </c>
      <c r="C109" s="2" t="str">
        <f ca="1">IFERROR(__xludf.DUMMYFUNCTION("""COMPUTED_VALUE"""),"Kaasiku")</f>
        <v>Kaasiku</v>
      </c>
      <c r="D109" s="2">
        <f ca="1">IFERROR(__xludf.DUMMYFUNCTION("""COMPUTED_VALUE"""),227)</f>
        <v>227</v>
      </c>
      <c r="E109" s="2">
        <f ca="1">IFERROR(__xludf.DUMMYFUNCTION("""COMPUTED_VALUE"""),0)</f>
        <v>0</v>
      </c>
      <c r="F109" s="2">
        <f ca="1">IFERROR(__xludf.DUMMYFUNCTION("""COMPUTED_VALUE"""),158)</f>
        <v>158</v>
      </c>
      <c r="G109" s="2">
        <f ca="1">IFERROR(__xludf.DUMMYFUNCTION("""COMPUTED_VALUE"""),385)</f>
        <v>385</v>
      </c>
      <c r="H109" s="2">
        <f ca="1">IFERROR(__xludf.DUMMYFUNCTION("""COMPUTED_VALUE"""),105)</f>
        <v>105</v>
      </c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">
      <c r="A110" s="2">
        <f ca="1">IFERROR(__xludf.DUMMYFUNCTION("""COMPUTED_VALUE"""),150)</f>
        <v>150</v>
      </c>
      <c r="B110" s="2" t="str">
        <f ca="1">IFERROR(__xludf.DUMMYFUNCTION("""COMPUTED_VALUE"""),"Kadri")</f>
        <v>Kadri</v>
      </c>
      <c r="C110" s="2" t="str">
        <f ca="1">IFERROR(__xludf.DUMMYFUNCTION("""COMPUTED_VALUE"""),"Järv")</f>
        <v>Järv</v>
      </c>
      <c r="D110" s="2">
        <f ca="1">IFERROR(__xludf.DUMMYFUNCTION("""COMPUTED_VALUE"""),0)</f>
        <v>0</v>
      </c>
      <c r="E110" s="2">
        <f ca="1">IFERROR(__xludf.DUMMYFUNCTION("""COMPUTED_VALUE"""),215)</f>
        <v>215</v>
      </c>
      <c r="F110" s="2">
        <f ca="1">IFERROR(__xludf.DUMMYFUNCTION("""COMPUTED_VALUE"""),168)</f>
        <v>168</v>
      </c>
      <c r="G110" s="2">
        <f ca="1">IFERROR(__xludf.DUMMYFUNCTION("""COMPUTED_VALUE"""),383)</f>
        <v>383</v>
      </c>
      <c r="H110" s="2">
        <f ca="1">IFERROR(__xludf.DUMMYFUNCTION("""COMPUTED_VALUE"""),106)</f>
        <v>106</v>
      </c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">
      <c r="A111" s="2">
        <f ca="1">IFERROR(__xludf.DUMMYFUNCTION("""COMPUTED_VALUE"""),122)</f>
        <v>122</v>
      </c>
      <c r="B111" s="2" t="str">
        <f ca="1">IFERROR(__xludf.DUMMYFUNCTION("""COMPUTED_VALUE"""),"Andrus")</f>
        <v>Andrus</v>
      </c>
      <c r="C111" s="2" t="str">
        <f ca="1">IFERROR(__xludf.DUMMYFUNCTION("""COMPUTED_VALUE"""),"Kahr")</f>
        <v>Kahr</v>
      </c>
      <c r="D111" s="2">
        <f ca="1">IFERROR(__xludf.DUMMYFUNCTION("""COMPUTED_VALUE"""),0)</f>
        <v>0</v>
      </c>
      <c r="E111" s="2">
        <f ca="1">IFERROR(__xludf.DUMMYFUNCTION("""COMPUTED_VALUE"""),223)</f>
        <v>223</v>
      </c>
      <c r="F111" s="2">
        <f ca="1">IFERROR(__xludf.DUMMYFUNCTION("""COMPUTED_VALUE"""),155)</f>
        <v>155</v>
      </c>
      <c r="G111" s="2">
        <f ca="1">IFERROR(__xludf.DUMMYFUNCTION("""COMPUTED_VALUE"""),378)</f>
        <v>378</v>
      </c>
      <c r="H111" s="2">
        <f ca="1">IFERROR(__xludf.DUMMYFUNCTION("""COMPUTED_VALUE"""),107)</f>
        <v>107</v>
      </c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">
      <c r="A112" s="2">
        <f ca="1">IFERROR(__xludf.DUMMYFUNCTION("""COMPUTED_VALUE"""),114)</f>
        <v>114</v>
      </c>
      <c r="B112" s="2" t="str">
        <f ca="1">IFERROR(__xludf.DUMMYFUNCTION("""COMPUTED_VALUE"""),"Kristiina")</f>
        <v>Kristiina</v>
      </c>
      <c r="C112" s="2" t="str">
        <f ca="1">IFERROR(__xludf.DUMMYFUNCTION("""COMPUTED_VALUE"""),"Sireli")</f>
        <v>Sireli</v>
      </c>
      <c r="D112" s="2">
        <f ca="1">IFERROR(__xludf.DUMMYFUNCTION("""COMPUTED_VALUE"""),176)</f>
        <v>176</v>
      </c>
      <c r="E112" s="2">
        <f ca="1">IFERROR(__xludf.DUMMYFUNCTION("""COMPUTED_VALUE"""),191)</f>
        <v>191</v>
      </c>
      <c r="F112" s="2">
        <f ca="1">IFERROR(__xludf.DUMMYFUNCTION("""COMPUTED_VALUE"""),0)</f>
        <v>0</v>
      </c>
      <c r="G112" s="2">
        <f ca="1">IFERROR(__xludf.DUMMYFUNCTION("""COMPUTED_VALUE"""),367)</f>
        <v>367</v>
      </c>
      <c r="H112" s="2">
        <f ca="1">IFERROR(__xludf.DUMMYFUNCTION("""COMPUTED_VALUE"""),108)</f>
        <v>108</v>
      </c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">
      <c r="A113" s="2">
        <f ca="1">IFERROR(__xludf.DUMMYFUNCTION("""COMPUTED_VALUE"""),176)</f>
        <v>176</v>
      </c>
      <c r="B113" s="2" t="str">
        <f ca="1">IFERROR(__xludf.DUMMYFUNCTION("""COMPUTED_VALUE"""),"Tarmo")</f>
        <v>Tarmo</v>
      </c>
      <c r="C113" s="2" t="str">
        <f ca="1">IFERROR(__xludf.DUMMYFUNCTION("""COMPUTED_VALUE"""),"Randrüüt")</f>
        <v>Randrüüt</v>
      </c>
      <c r="D113" s="2">
        <f ca="1">IFERROR(__xludf.DUMMYFUNCTION("""COMPUTED_VALUE"""),219)</f>
        <v>219</v>
      </c>
      <c r="E113" s="2">
        <f ca="1">IFERROR(__xludf.DUMMYFUNCTION("""COMPUTED_VALUE"""),0)</f>
        <v>0</v>
      </c>
      <c r="F113" s="2">
        <f ca="1">IFERROR(__xludf.DUMMYFUNCTION("""COMPUTED_VALUE"""),143)</f>
        <v>143</v>
      </c>
      <c r="G113" s="2">
        <f ca="1">IFERROR(__xludf.DUMMYFUNCTION("""COMPUTED_VALUE"""),362)</f>
        <v>362</v>
      </c>
      <c r="H113" s="2">
        <f ca="1">IFERROR(__xludf.DUMMYFUNCTION("""COMPUTED_VALUE"""),109)</f>
        <v>109</v>
      </c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">
      <c r="A114" s="2">
        <f ca="1">IFERROR(__xludf.DUMMYFUNCTION("""COMPUTED_VALUE"""),154)</f>
        <v>154</v>
      </c>
      <c r="B114" s="2" t="str">
        <f ca="1">IFERROR(__xludf.DUMMYFUNCTION("""COMPUTED_VALUE"""),"Ülar")</f>
        <v>Ülar</v>
      </c>
      <c r="C114" s="2" t="str">
        <f ca="1">IFERROR(__xludf.DUMMYFUNCTION("""COMPUTED_VALUE"""),"Jürviste")</f>
        <v>Jürviste</v>
      </c>
      <c r="D114" s="2">
        <f ca="1">IFERROR(__xludf.DUMMYFUNCTION("""COMPUTED_VALUE"""),183)</f>
        <v>183</v>
      </c>
      <c r="E114" s="2">
        <f ca="1">IFERROR(__xludf.DUMMYFUNCTION("""COMPUTED_VALUE"""),0)</f>
        <v>0</v>
      </c>
      <c r="F114" s="2">
        <f ca="1">IFERROR(__xludf.DUMMYFUNCTION("""COMPUTED_VALUE"""),172)</f>
        <v>172</v>
      </c>
      <c r="G114" s="2">
        <f ca="1">IFERROR(__xludf.DUMMYFUNCTION("""COMPUTED_VALUE"""),355)</f>
        <v>355</v>
      </c>
      <c r="H114" s="2">
        <f ca="1">IFERROR(__xludf.DUMMYFUNCTION("""COMPUTED_VALUE"""),110)</f>
        <v>110</v>
      </c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">
      <c r="A115" s="2">
        <f ca="1">IFERROR(__xludf.DUMMYFUNCTION("""COMPUTED_VALUE"""),125)</f>
        <v>125</v>
      </c>
      <c r="B115" s="2" t="str">
        <f ca="1">IFERROR(__xludf.DUMMYFUNCTION("""COMPUTED_VALUE"""),"Mart")</f>
        <v>Mart</v>
      </c>
      <c r="C115" s="2" t="str">
        <f ca="1">IFERROR(__xludf.DUMMYFUNCTION("""COMPUTED_VALUE"""),"Arrak")</f>
        <v>Arrak</v>
      </c>
      <c r="D115" s="2">
        <f ca="1">IFERROR(__xludf.DUMMYFUNCTION("""COMPUTED_VALUE"""),0)</f>
        <v>0</v>
      </c>
      <c r="E115" s="2">
        <f ca="1">IFERROR(__xludf.DUMMYFUNCTION("""COMPUTED_VALUE"""),224)</f>
        <v>224</v>
      </c>
      <c r="F115" s="2">
        <f ca="1">IFERROR(__xludf.DUMMYFUNCTION("""COMPUTED_VALUE"""),121)</f>
        <v>121</v>
      </c>
      <c r="G115" s="2">
        <f ca="1">IFERROR(__xludf.DUMMYFUNCTION("""COMPUTED_VALUE"""),345)</f>
        <v>345</v>
      </c>
      <c r="H115" s="2">
        <f ca="1">IFERROR(__xludf.DUMMYFUNCTION("""COMPUTED_VALUE"""),111)</f>
        <v>111</v>
      </c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">
      <c r="A116" s="2">
        <f ca="1">IFERROR(__xludf.DUMMYFUNCTION("""COMPUTED_VALUE"""),38)</f>
        <v>38</v>
      </c>
      <c r="B116" s="2" t="str">
        <f ca="1">IFERROR(__xludf.DUMMYFUNCTION("""COMPUTED_VALUE"""),"Elisa")</f>
        <v>Elisa</v>
      </c>
      <c r="C116" s="2" t="str">
        <f ca="1">IFERROR(__xludf.DUMMYFUNCTION("""COMPUTED_VALUE"""),"Jakson")</f>
        <v>Jakson</v>
      </c>
      <c r="D116" s="2">
        <f ca="1">IFERROR(__xludf.DUMMYFUNCTION("""COMPUTED_VALUE"""),0)</f>
        <v>0</v>
      </c>
      <c r="E116" s="2">
        <f ca="1">IFERROR(__xludf.DUMMYFUNCTION("""COMPUTED_VALUE"""),225)</f>
        <v>225</v>
      </c>
      <c r="F116" s="2">
        <f ca="1">IFERROR(__xludf.DUMMYFUNCTION("""COMPUTED_VALUE"""),108)</f>
        <v>108</v>
      </c>
      <c r="G116" s="2">
        <f ca="1">IFERROR(__xludf.DUMMYFUNCTION("""COMPUTED_VALUE"""),333)</f>
        <v>333</v>
      </c>
      <c r="H116" s="2">
        <f ca="1">IFERROR(__xludf.DUMMYFUNCTION("""COMPUTED_VALUE"""),112)</f>
        <v>112</v>
      </c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">
      <c r="A117" s="2">
        <f ca="1">IFERROR(__xludf.DUMMYFUNCTION("""COMPUTED_VALUE"""),109)</f>
        <v>109</v>
      </c>
      <c r="B117" s="2" t="str">
        <f ca="1">IFERROR(__xludf.DUMMYFUNCTION("""COMPUTED_VALUE"""),"Allan")</f>
        <v>Allan</v>
      </c>
      <c r="C117" s="2" t="str">
        <f ca="1">IFERROR(__xludf.DUMMYFUNCTION("""COMPUTED_VALUE"""),"Anniste")</f>
        <v>Anniste</v>
      </c>
      <c r="D117" s="2">
        <f ca="1">IFERROR(__xludf.DUMMYFUNCTION("""COMPUTED_VALUE"""),0)</f>
        <v>0</v>
      </c>
      <c r="E117" s="2">
        <f ca="1">IFERROR(__xludf.DUMMYFUNCTION("""COMPUTED_VALUE"""),229)</f>
        <v>229</v>
      </c>
      <c r="F117" s="2">
        <f ca="1">IFERROR(__xludf.DUMMYFUNCTION("""COMPUTED_VALUE"""),74)</f>
        <v>74</v>
      </c>
      <c r="G117" s="2">
        <f ca="1">IFERROR(__xludf.DUMMYFUNCTION("""COMPUTED_VALUE"""),303)</f>
        <v>303</v>
      </c>
      <c r="H117" s="2">
        <f ca="1">IFERROR(__xludf.DUMMYFUNCTION("""COMPUTED_VALUE"""),113)</f>
        <v>113</v>
      </c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">
      <c r="A118" s="2">
        <f ca="1">IFERROR(__xludf.DUMMYFUNCTION("""COMPUTED_VALUE"""),174)</f>
        <v>174</v>
      </c>
      <c r="B118" s="2" t="str">
        <f ca="1">IFERROR(__xludf.DUMMYFUNCTION("""COMPUTED_VALUE"""),"Marie")</f>
        <v>Marie</v>
      </c>
      <c r="C118" s="2" t="str">
        <f ca="1">IFERROR(__xludf.DUMMYFUNCTION("""COMPUTED_VALUE"""),"Fischer")</f>
        <v>Fischer</v>
      </c>
      <c r="D118" s="2">
        <f ca="1">IFERROR(__xludf.DUMMYFUNCTION("""COMPUTED_VALUE"""),196)</f>
        <v>196</v>
      </c>
      <c r="E118" s="2">
        <f ca="1">IFERROR(__xludf.DUMMYFUNCTION("""COMPUTED_VALUE"""),0)</f>
        <v>0</v>
      </c>
      <c r="F118" s="2">
        <f ca="1">IFERROR(__xludf.DUMMYFUNCTION("""COMPUTED_VALUE"""),106)</f>
        <v>106</v>
      </c>
      <c r="G118" s="2">
        <f ca="1">IFERROR(__xludf.DUMMYFUNCTION("""COMPUTED_VALUE"""),302)</f>
        <v>302</v>
      </c>
      <c r="H118" s="2">
        <f ca="1">IFERROR(__xludf.DUMMYFUNCTION("""COMPUTED_VALUE"""),114)</f>
        <v>114</v>
      </c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">
      <c r="A119" s="2">
        <f ca="1">IFERROR(__xludf.DUMMYFUNCTION("""COMPUTED_VALUE"""),53)</f>
        <v>53</v>
      </c>
      <c r="B119" s="2" t="str">
        <f ca="1">IFERROR(__xludf.DUMMYFUNCTION("""COMPUTED_VALUE"""),"Evelin")</f>
        <v>Evelin</v>
      </c>
      <c r="C119" s="2" t="str">
        <f ca="1">IFERROR(__xludf.DUMMYFUNCTION("""COMPUTED_VALUE"""),"Lappalainen")</f>
        <v>Lappalainen</v>
      </c>
      <c r="D119" s="2">
        <f ca="1">IFERROR(__xludf.DUMMYFUNCTION("""COMPUTED_VALUE"""),0)</f>
        <v>0</v>
      </c>
      <c r="E119" s="2">
        <f ca="1">IFERROR(__xludf.DUMMYFUNCTION("""COMPUTED_VALUE"""),190)</f>
        <v>190</v>
      </c>
      <c r="F119" s="2">
        <f ca="1">IFERROR(__xludf.DUMMYFUNCTION("""COMPUTED_VALUE"""),107)</f>
        <v>107</v>
      </c>
      <c r="G119" s="2">
        <f ca="1">IFERROR(__xludf.DUMMYFUNCTION("""COMPUTED_VALUE"""),297)</f>
        <v>297</v>
      </c>
      <c r="H119" s="2">
        <f ca="1">IFERROR(__xludf.DUMMYFUNCTION("""COMPUTED_VALUE"""),115)</f>
        <v>115</v>
      </c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">
      <c r="A120" s="2">
        <f ca="1">IFERROR(__xludf.DUMMYFUNCTION("""COMPUTED_VALUE"""),61)</f>
        <v>61</v>
      </c>
      <c r="B120" s="2" t="str">
        <f ca="1">IFERROR(__xludf.DUMMYFUNCTION("""COMPUTED_VALUE"""),"Heli")</f>
        <v>Heli</v>
      </c>
      <c r="C120" s="2" t="str">
        <f ca="1">IFERROR(__xludf.DUMMYFUNCTION("""COMPUTED_VALUE"""),"Palgi")</f>
        <v>Palgi</v>
      </c>
      <c r="D120" s="2">
        <f ca="1">IFERROR(__xludf.DUMMYFUNCTION("""COMPUTED_VALUE"""),165)</f>
        <v>165</v>
      </c>
      <c r="E120" s="2">
        <f ca="1">IFERROR(__xludf.DUMMYFUNCTION("""COMPUTED_VALUE"""),126)</f>
        <v>126</v>
      </c>
      <c r="F120" s="2">
        <f ca="1">IFERROR(__xludf.DUMMYFUNCTION("""COMPUTED_VALUE"""),0)</f>
        <v>0</v>
      </c>
      <c r="G120" s="2">
        <f ca="1">IFERROR(__xludf.DUMMYFUNCTION("""COMPUTED_VALUE"""),291)</f>
        <v>291</v>
      </c>
      <c r="H120" s="2">
        <f ca="1">IFERROR(__xludf.DUMMYFUNCTION("""COMPUTED_VALUE"""),116)</f>
        <v>116</v>
      </c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">
      <c r="A121" s="2">
        <f ca="1">IFERROR(__xludf.DUMMYFUNCTION("""COMPUTED_VALUE"""),158)</f>
        <v>158</v>
      </c>
      <c r="B121" s="2" t="str">
        <f ca="1">IFERROR(__xludf.DUMMYFUNCTION("""COMPUTED_VALUE"""),"Jaanus")</f>
        <v>Jaanus</v>
      </c>
      <c r="C121" s="2" t="str">
        <f ca="1">IFERROR(__xludf.DUMMYFUNCTION("""COMPUTED_VALUE"""),"Mätas")</f>
        <v>Mätas</v>
      </c>
      <c r="D121" s="2">
        <f ca="1">IFERROR(__xludf.DUMMYFUNCTION("""COMPUTED_VALUE"""),283)</f>
        <v>283</v>
      </c>
      <c r="E121" s="2">
        <f ca="1">IFERROR(__xludf.DUMMYFUNCTION("""COMPUTED_VALUE"""),0)</f>
        <v>0</v>
      </c>
      <c r="F121" s="2">
        <f ca="1">IFERROR(__xludf.DUMMYFUNCTION("""COMPUTED_VALUE"""),0)</f>
        <v>0</v>
      </c>
      <c r="G121" s="2">
        <f ca="1">IFERROR(__xludf.DUMMYFUNCTION("""COMPUTED_VALUE"""),283)</f>
        <v>283</v>
      </c>
      <c r="H121" s="2">
        <f ca="1">IFERROR(__xludf.DUMMYFUNCTION("""COMPUTED_VALUE"""),117)</f>
        <v>117</v>
      </c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">
      <c r="A122" s="2">
        <f ca="1">IFERROR(__xludf.DUMMYFUNCTION("""COMPUTED_VALUE"""),157)</f>
        <v>157</v>
      </c>
      <c r="B122" s="2" t="str">
        <f ca="1">IFERROR(__xludf.DUMMYFUNCTION("""COMPUTED_VALUE"""),"Erik")</f>
        <v>Erik</v>
      </c>
      <c r="C122" s="2" t="str">
        <f ca="1">IFERROR(__xludf.DUMMYFUNCTION("""COMPUTED_VALUE"""),"Amann")</f>
        <v>Amann</v>
      </c>
      <c r="D122" s="2">
        <f ca="1">IFERROR(__xludf.DUMMYFUNCTION("""COMPUTED_VALUE"""),281)</f>
        <v>281</v>
      </c>
      <c r="E122" s="2">
        <f ca="1">IFERROR(__xludf.DUMMYFUNCTION("""COMPUTED_VALUE"""),0)</f>
        <v>0</v>
      </c>
      <c r="F122" s="2">
        <f ca="1">IFERROR(__xludf.DUMMYFUNCTION("""COMPUTED_VALUE"""),0)</f>
        <v>0</v>
      </c>
      <c r="G122" s="2">
        <f ca="1">IFERROR(__xludf.DUMMYFUNCTION("""COMPUTED_VALUE"""),281)</f>
        <v>281</v>
      </c>
      <c r="H122" s="2">
        <f ca="1">IFERROR(__xludf.DUMMYFUNCTION("""COMPUTED_VALUE"""),118)</f>
        <v>118</v>
      </c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">
      <c r="A123" s="2">
        <f ca="1">IFERROR(__xludf.DUMMYFUNCTION("""COMPUTED_VALUE"""),190)</f>
        <v>190</v>
      </c>
      <c r="B123" s="2" t="str">
        <f ca="1">IFERROR(__xludf.DUMMYFUNCTION("""COMPUTED_VALUE"""),"Toomas")</f>
        <v>Toomas</v>
      </c>
      <c r="C123" s="2" t="str">
        <f ca="1">IFERROR(__xludf.DUMMYFUNCTION("""COMPUTED_VALUE"""),"Niinemäe")</f>
        <v>Niinemäe</v>
      </c>
      <c r="D123" s="2">
        <f ca="1">IFERROR(__xludf.DUMMYFUNCTION("""COMPUTED_VALUE"""),0)</f>
        <v>0</v>
      </c>
      <c r="E123" s="2">
        <f ca="1">IFERROR(__xludf.DUMMYFUNCTION("""COMPUTED_VALUE"""),280)</f>
        <v>280</v>
      </c>
      <c r="F123" s="2" t="str">
        <f ca="1">IFERROR(__xludf.DUMMYFUNCTION("""COMPUTED_VALUE"""),"")</f>
        <v/>
      </c>
      <c r="G123" s="2">
        <f ca="1">IFERROR(__xludf.DUMMYFUNCTION("""COMPUTED_VALUE"""),280)</f>
        <v>280</v>
      </c>
      <c r="H123" s="2">
        <f ca="1">IFERROR(__xludf.DUMMYFUNCTION("""COMPUTED_VALUE"""),119)</f>
        <v>119</v>
      </c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">
      <c r="A124" s="2">
        <f ca="1">IFERROR(__xludf.DUMMYFUNCTION("""COMPUTED_VALUE"""),35)</f>
        <v>35</v>
      </c>
      <c r="B124" s="2" t="str">
        <f ca="1">IFERROR(__xludf.DUMMYFUNCTION("""COMPUTED_VALUE"""),"Ain")</f>
        <v>Ain</v>
      </c>
      <c r="C124" s="2" t="str">
        <f ca="1">IFERROR(__xludf.DUMMYFUNCTION("""COMPUTED_VALUE"""),"Muru")</f>
        <v>Muru</v>
      </c>
      <c r="D124" s="2">
        <f ca="1">IFERROR(__xludf.DUMMYFUNCTION("""COMPUTED_VALUE"""),0)</f>
        <v>0</v>
      </c>
      <c r="E124" s="2">
        <f ca="1">IFERROR(__xludf.DUMMYFUNCTION("""COMPUTED_VALUE"""),279)</f>
        <v>279</v>
      </c>
      <c r="F124" s="2">
        <f ca="1">IFERROR(__xludf.DUMMYFUNCTION("""COMPUTED_VALUE"""),0)</f>
        <v>0</v>
      </c>
      <c r="G124" s="2">
        <f ca="1">IFERROR(__xludf.DUMMYFUNCTION("""COMPUTED_VALUE"""),279)</f>
        <v>279</v>
      </c>
      <c r="H124" s="2">
        <f ca="1">IFERROR(__xludf.DUMMYFUNCTION("""COMPUTED_VALUE"""),120)</f>
        <v>120</v>
      </c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">
      <c r="A125" s="2">
        <f ca="1">IFERROR(__xludf.DUMMYFUNCTION("""COMPUTED_VALUE"""),118)</f>
        <v>118</v>
      </c>
      <c r="B125" s="2" t="str">
        <f ca="1">IFERROR(__xludf.DUMMYFUNCTION("""COMPUTED_VALUE"""),"Meelis")</f>
        <v>Meelis</v>
      </c>
      <c r="C125" s="2" t="str">
        <f ca="1">IFERROR(__xludf.DUMMYFUNCTION("""COMPUTED_VALUE"""),"Sinijärv")</f>
        <v>Sinijärv</v>
      </c>
      <c r="D125" s="2">
        <f ca="1">IFERROR(__xludf.DUMMYFUNCTION("""COMPUTED_VALUE"""),0)</f>
        <v>0</v>
      </c>
      <c r="E125" s="2">
        <f ca="1">IFERROR(__xludf.DUMMYFUNCTION("""COMPUTED_VALUE"""),274)</f>
        <v>274</v>
      </c>
      <c r="F125" s="2">
        <f ca="1">IFERROR(__xludf.DUMMYFUNCTION("""COMPUTED_VALUE"""),0)</f>
        <v>0</v>
      </c>
      <c r="G125" s="2">
        <f ca="1">IFERROR(__xludf.DUMMYFUNCTION("""COMPUTED_VALUE"""),274)</f>
        <v>274</v>
      </c>
      <c r="H125" s="2">
        <f ca="1">IFERROR(__xludf.DUMMYFUNCTION("""COMPUTED_VALUE"""),121)</f>
        <v>121</v>
      </c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">
      <c r="A126" s="2">
        <f ca="1">IFERROR(__xludf.DUMMYFUNCTION("""COMPUTED_VALUE"""),181)</f>
        <v>181</v>
      </c>
      <c r="B126" s="2" t="str">
        <f ca="1">IFERROR(__xludf.DUMMYFUNCTION("""COMPUTED_VALUE"""),"Siim")</f>
        <v>Siim</v>
      </c>
      <c r="C126" s="2" t="str">
        <f ca="1">IFERROR(__xludf.DUMMYFUNCTION("""COMPUTED_VALUE"""),"Põldmaa")</f>
        <v>Põldmaa</v>
      </c>
      <c r="D126" s="2">
        <f ca="1">IFERROR(__xludf.DUMMYFUNCTION("""COMPUTED_VALUE"""),269)</f>
        <v>269</v>
      </c>
      <c r="E126" s="2">
        <f ca="1">IFERROR(__xludf.DUMMYFUNCTION("""COMPUTED_VALUE"""),0)</f>
        <v>0</v>
      </c>
      <c r="F126" s="2">
        <f ca="1">IFERROR(__xludf.DUMMYFUNCTION("""COMPUTED_VALUE"""),0)</f>
        <v>0</v>
      </c>
      <c r="G126" s="2">
        <f ca="1">IFERROR(__xludf.DUMMYFUNCTION("""COMPUTED_VALUE"""),269)</f>
        <v>269</v>
      </c>
      <c r="H126" s="2">
        <f ca="1">IFERROR(__xludf.DUMMYFUNCTION("""COMPUTED_VALUE"""),122)</f>
        <v>122</v>
      </c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">
      <c r="A127" s="2">
        <f ca="1">IFERROR(__xludf.DUMMYFUNCTION("""COMPUTED_VALUE"""),104)</f>
        <v>104</v>
      </c>
      <c r="B127" s="2" t="str">
        <f ca="1">IFERROR(__xludf.DUMMYFUNCTION("""COMPUTED_VALUE"""),"Natalja")</f>
        <v>Natalja</v>
      </c>
      <c r="C127" s="2" t="str">
        <f ca="1">IFERROR(__xludf.DUMMYFUNCTION("""COMPUTED_VALUE"""),"Skvortsova")</f>
        <v>Skvortsova</v>
      </c>
      <c r="D127" s="2">
        <f ca="1">IFERROR(__xludf.DUMMYFUNCTION("""COMPUTED_VALUE"""),0)</f>
        <v>0</v>
      </c>
      <c r="E127" s="2">
        <f ca="1">IFERROR(__xludf.DUMMYFUNCTION("""COMPUTED_VALUE"""),267)</f>
        <v>267</v>
      </c>
      <c r="F127" s="2">
        <f ca="1">IFERROR(__xludf.DUMMYFUNCTION("""COMPUTED_VALUE"""),0)</f>
        <v>0</v>
      </c>
      <c r="G127" s="2">
        <f ca="1">IFERROR(__xludf.DUMMYFUNCTION("""COMPUTED_VALUE"""),267)</f>
        <v>267</v>
      </c>
      <c r="H127" s="2">
        <f ca="1">IFERROR(__xludf.DUMMYFUNCTION("""COMPUTED_VALUE"""),123)</f>
        <v>123</v>
      </c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">
      <c r="A128" s="2">
        <f ca="1">IFERROR(__xludf.DUMMYFUNCTION("""COMPUTED_VALUE"""),117)</f>
        <v>117</v>
      </c>
      <c r="B128" s="2" t="str">
        <f ca="1">IFERROR(__xludf.DUMMYFUNCTION("""COMPUTED_VALUE"""),"Joe")</f>
        <v>Joe</v>
      </c>
      <c r="C128" s="2" t="str">
        <f ca="1">IFERROR(__xludf.DUMMYFUNCTION("""COMPUTED_VALUE"""),"Lepp")</f>
        <v>Lepp</v>
      </c>
      <c r="D128" s="2">
        <f ca="1">IFERROR(__xludf.DUMMYFUNCTION("""COMPUTED_VALUE"""),0)</f>
        <v>0</v>
      </c>
      <c r="E128" s="2">
        <f ca="1">IFERROR(__xludf.DUMMYFUNCTION("""COMPUTED_VALUE"""),266)</f>
        <v>266</v>
      </c>
      <c r="F128" s="2">
        <f ca="1">IFERROR(__xludf.DUMMYFUNCTION("""COMPUTED_VALUE"""),0)</f>
        <v>0</v>
      </c>
      <c r="G128" s="2">
        <f ca="1">IFERROR(__xludf.DUMMYFUNCTION("""COMPUTED_VALUE"""),266)</f>
        <v>266</v>
      </c>
      <c r="H128" s="2">
        <f ca="1">IFERROR(__xludf.DUMMYFUNCTION("""COMPUTED_VALUE"""),124)</f>
        <v>124</v>
      </c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">
      <c r="A129" s="2">
        <f ca="1">IFERROR(__xludf.DUMMYFUNCTION("""COMPUTED_VALUE"""),166)</f>
        <v>166</v>
      </c>
      <c r="B129" s="2" t="str">
        <f ca="1">IFERROR(__xludf.DUMMYFUNCTION("""COMPUTED_VALUE"""),"Signe")</f>
        <v>Signe</v>
      </c>
      <c r="C129" s="2" t="str">
        <f ca="1">IFERROR(__xludf.DUMMYFUNCTION("""COMPUTED_VALUE"""),"Viggor")</f>
        <v>Viggor</v>
      </c>
      <c r="D129" s="2">
        <f ca="1">IFERROR(__xludf.DUMMYFUNCTION("""COMPUTED_VALUE"""),264)</f>
        <v>264</v>
      </c>
      <c r="E129" s="2">
        <f ca="1">IFERROR(__xludf.DUMMYFUNCTION("""COMPUTED_VALUE"""),0)</f>
        <v>0</v>
      </c>
      <c r="F129" s="2">
        <f ca="1">IFERROR(__xludf.DUMMYFUNCTION("""COMPUTED_VALUE"""),0)</f>
        <v>0</v>
      </c>
      <c r="G129" s="2">
        <f ca="1">IFERROR(__xludf.DUMMYFUNCTION("""COMPUTED_VALUE"""),264)</f>
        <v>264</v>
      </c>
      <c r="H129" s="2">
        <f ca="1">IFERROR(__xludf.DUMMYFUNCTION("""COMPUTED_VALUE"""),125)</f>
        <v>125</v>
      </c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">
      <c r="A130" s="2">
        <f ca="1">IFERROR(__xludf.DUMMYFUNCTION("""COMPUTED_VALUE"""),194)</f>
        <v>194</v>
      </c>
      <c r="B130" s="2" t="str">
        <f ca="1">IFERROR(__xludf.DUMMYFUNCTION("""COMPUTED_VALUE"""),"Ants")</f>
        <v>Ants</v>
      </c>
      <c r="C130" s="2" t="str">
        <f ca="1">IFERROR(__xludf.DUMMYFUNCTION("""COMPUTED_VALUE"""),"Palgi")</f>
        <v>Palgi</v>
      </c>
      <c r="D130" s="2">
        <f ca="1">IFERROR(__xludf.DUMMYFUNCTION("""COMPUTED_VALUE"""),0)</f>
        <v>0</v>
      </c>
      <c r="E130" s="2">
        <f ca="1">IFERROR(__xludf.DUMMYFUNCTION("""COMPUTED_VALUE"""),264)</f>
        <v>264</v>
      </c>
      <c r="F130" s="2" t="str">
        <f ca="1">IFERROR(__xludf.DUMMYFUNCTION("""COMPUTED_VALUE"""),"")</f>
        <v/>
      </c>
      <c r="G130" s="2">
        <f ca="1">IFERROR(__xludf.DUMMYFUNCTION("""COMPUTED_VALUE"""),264)</f>
        <v>264</v>
      </c>
      <c r="H130" s="2">
        <f ca="1">IFERROR(__xludf.DUMMYFUNCTION("""COMPUTED_VALUE"""),125)</f>
        <v>125</v>
      </c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">
      <c r="A131" s="2">
        <f ca="1">IFERROR(__xludf.DUMMYFUNCTION("""COMPUTED_VALUE"""),187)</f>
        <v>187</v>
      </c>
      <c r="B131" s="2" t="str">
        <f ca="1">IFERROR(__xludf.DUMMYFUNCTION("""COMPUTED_VALUE"""),"Urmas")</f>
        <v>Urmas</v>
      </c>
      <c r="C131" s="2" t="str">
        <f ca="1">IFERROR(__xludf.DUMMYFUNCTION("""COMPUTED_VALUE"""),"Lichtfeldt")</f>
        <v>Lichtfeldt</v>
      </c>
      <c r="D131" s="2">
        <f ca="1">IFERROR(__xludf.DUMMYFUNCTION("""COMPUTED_VALUE"""),0)</f>
        <v>0</v>
      </c>
      <c r="E131" s="2">
        <f ca="1">IFERROR(__xludf.DUMMYFUNCTION("""COMPUTED_VALUE"""),263)</f>
        <v>263</v>
      </c>
      <c r="F131" s="2" t="str">
        <f ca="1">IFERROR(__xludf.DUMMYFUNCTION("""COMPUTED_VALUE"""),"")</f>
        <v/>
      </c>
      <c r="G131" s="2">
        <f ca="1">IFERROR(__xludf.DUMMYFUNCTION("""COMPUTED_VALUE"""),263)</f>
        <v>263</v>
      </c>
      <c r="H131" s="2">
        <f ca="1">IFERROR(__xludf.DUMMYFUNCTION("""COMPUTED_VALUE"""),127)</f>
        <v>127</v>
      </c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">
      <c r="A132" s="2">
        <f ca="1">IFERROR(__xludf.DUMMYFUNCTION("""COMPUTED_VALUE"""),42)</f>
        <v>42</v>
      </c>
      <c r="B132" s="2" t="str">
        <f ca="1">IFERROR(__xludf.DUMMYFUNCTION("""COMPUTED_VALUE"""),"Andres")</f>
        <v>Andres</v>
      </c>
      <c r="C132" s="2" t="str">
        <f ca="1">IFERROR(__xludf.DUMMYFUNCTION("""COMPUTED_VALUE"""),"Ansip")</f>
        <v>Ansip</v>
      </c>
      <c r="D132" s="2">
        <f ca="1">IFERROR(__xludf.DUMMYFUNCTION("""COMPUTED_VALUE"""),0)</f>
        <v>0</v>
      </c>
      <c r="E132" s="2">
        <f ca="1">IFERROR(__xludf.DUMMYFUNCTION("""COMPUTED_VALUE"""),262)</f>
        <v>262</v>
      </c>
      <c r="F132" s="2">
        <f ca="1">IFERROR(__xludf.DUMMYFUNCTION("""COMPUTED_VALUE"""),0)</f>
        <v>0</v>
      </c>
      <c r="G132" s="2">
        <f ca="1">IFERROR(__xludf.DUMMYFUNCTION("""COMPUTED_VALUE"""),262)</f>
        <v>262</v>
      </c>
      <c r="H132" s="2">
        <f ca="1">IFERROR(__xludf.DUMMYFUNCTION("""COMPUTED_VALUE"""),128)</f>
        <v>128</v>
      </c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">
      <c r="A133" s="2">
        <f ca="1">IFERROR(__xludf.DUMMYFUNCTION("""COMPUTED_VALUE"""),46)</f>
        <v>46</v>
      </c>
      <c r="B133" s="2" t="str">
        <f ca="1">IFERROR(__xludf.DUMMYFUNCTION("""COMPUTED_VALUE"""),"Ljudmila")</f>
        <v>Ljudmila</v>
      </c>
      <c r="C133" s="2" t="str">
        <f ca="1">IFERROR(__xludf.DUMMYFUNCTION("""COMPUTED_VALUE"""),"Kortšagina")</f>
        <v>Kortšagina</v>
      </c>
      <c r="D133" s="2">
        <f ca="1">IFERROR(__xludf.DUMMYFUNCTION("""COMPUTED_VALUE"""),0)</f>
        <v>0</v>
      </c>
      <c r="E133" s="2">
        <f ca="1">IFERROR(__xludf.DUMMYFUNCTION("""COMPUTED_VALUE"""),262)</f>
        <v>262</v>
      </c>
      <c r="F133" s="2">
        <f ca="1">IFERROR(__xludf.DUMMYFUNCTION("""COMPUTED_VALUE"""),0)</f>
        <v>0</v>
      </c>
      <c r="G133" s="2">
        <f ca="1">IFERROR(__xludf.DUMMYFUNCTION("""COMPUTED_VALUE"""),262)</f>
        <v>262</v>
      </c>
      <c r="H133" s="2">
        <f ca="1">IFERROR(__xludf.DUMMYFUNCTION("""COMPUTED_VALUE"""),128)</f>
        <v>128</v>
      </c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">
      <c r="A134" s="2">
        <f ca="1">IFERROR(__xludf.DUMMYFUNCTION("""COMPUTED_VALUE"""),188)</f>
        <v>188</v>
      </c>
      <c r="B134" s="2" t="str">
        <f ca="1">IFERROR(__xludf.DUMMYFUNCTION("""COMPUTED_VALUE"""),"Taavi")</f>
        <v>Taavi</v>
      </c>
      <c r="C134" s="2" t="str">
        <f ca="1">IFERROR(__xludf.DUMMYFUNCTION("""COMPUTED_VALUE"""),"Vaher")</f>
        <v>Vaher</v>
      </c>
      <c r="D134" s="2">
        <f ca="1">IFERROR(__xludf.DUMMYFUNCTION("""COMPUTED_VALUE"""),0)</f>
        <v>0</v>
      </c>
      <c r="E134" s="2">
        <f ca="1">IFERROR(__xludf.DUMMYFUNCTION("""COMPUTED_VALUE"""),262)</f>
        <v>262</v>
      </c>
      <c r="F134" s="2" t="str">
        <f ca="1">IFERROR(__xludf.DUMMYFUNCTION("""COMPUTED_VALUE"""),"")</f>
        <v/>
      </c>
      <c r="G134" s="2">
        <f ca="1">IFERROR(__xludf.DUMMYFUNCTION("""COMPUTED_VALUE"""),262)</f>
        <v>262</v>
      </c>
      <c r="H134" s="2">
        <f ca="1">IFERROR(__xludf.DUMMYFUNCTION("""COMPUTED_VALUE"""),128)</f>
        <v>128</v>
      </c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">
      <c r="A135" s="2">
        <f ca="1">IFERROR(__xludf.DUMMYFUNCTION("""COMPUTED_VALUE"""),164)</f>
        <v>164</v>
      </c>
      <c r="B135" s="2" t="str">
        <f ca="1">IFERROR(__xludf.DUMMYFUNCTION("""COMPUTED_VALUE"""),"Larissa")</f>
        <v>Larissa</v>
      </c>
      <c r="C135" s="2" t="str">
        <f ca="1">IFERROR(__xludf.DUMMYFUNCTION("""COMPUTED_VALUE"""),"Peeters")</f>
        <v>Peeters</v>
      </c>
      <c r="D135" s="2">
        <f ca="1">IFERROR(__xludf.DUMMYFUNCTION("""COMPUTED_VALUE"""),260)</f>
        <v>260</v>
      </c>
      <c r="E135" s="2">
        <f ca="1">IFERROR(__xludf.DUMMYFUNCTION("""COMPUTED_VALUE"""),0)</f>
        <v>0</v>
      </c>
      <c r="F135" s="2">
        <f ca="1">IFERROR(__xludf.DUMMYFUNCTION("""COMPUTED_VALUE"""),0)</f>
        <v>0</v>
      </c>
      <c r="G135" s="2">
        <f ca="1">IFERROR(__xludf.DUMMYFUNCTION("""COMPUTED_VALUE"""),260)</f>
        <v>260</v>
      </c>
      <c r="H135" s="2">
        <f ca="1">IFERROR(__xludf.DUMMYFUNCTION("""COMPUTED_VALUE"""),131)</f>
        <v>131</v>
      </c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">
      <c r="A136" s="2">
        <f ca="1">IFERROR(__xludf.DUMMYFUNCTION("""COMPUTED_VALUE"""),193)</f>
        <v>193</v>
      </c>
      <c r="B136" s="2" t="str">
        <f ca="1">IFERROR(__xludf.DUMMYFUNCTION("""COMPUTED_VALUE"""),"Kardo")</f>
        <v>Kardo</v>
      </c>
      <c r="C136" s="2" t="str">
        <f ca="1">IFERROR(__xludf.DUMMYFUNCTION("""COMPUTED_VALUE"""),"Merivald")</f>
        <v>Merivald</v>
      </c>
      <c r="D136" s="2">
        <f ca="1">IFERROR(__xludf.DUMMYFUNCTION("""COMPUTED_VALUE"""),0)</f>
        <v>0</v>
      </c>
      <c r="E136" s="2">
        <f ca="1">IFERROR(__xludf.DUMMYFUNCTION("""COMPUTED_VALUE"""),259)</f>
        <v>259</v>
      </c>
      <c r="F136" s="2" t="str">
        <f ca="1">IFERROR(__xludf.DUMMYFUNCTION("""COMPUTED_VALUE"""),"")</f>
        <v/>
      </c>
      <c r="G136" s="2">
        <f ca="1">IFERROR(__xludf.DUMMYFUNCTION("""COMPUTED_VALUE"""),259)</f>
        <v>259</v>
      </c>
      <c r="H136" s="2">
        <f ca="1">IFERROR(__xludf.DUMMYFUNCTION("""COMPUTED_VALUE"""),132)</f>
        <v>132</v>
      </c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">
      <c r="A137" s="2">
        <f ca="1">IFERROR(__xludf.DUMMYFUNCTION("""COMPUTED_VALUE"""),32)</f>
        <v>32</v>
      </c>
      <c r="B137" s="2" t="str">
        <f ca="1">IFERROR(__xludf.DUMMYFUNCTION("""COMPUTED_VALUE"""),"Renno")</f>
        <v>Renno</v>
      </c>
      <c r="C137" s="2" t="str">
        <f ca="1">IFERROR(__xludf.DUMMYFUNCTION("""COMPUTED_VALUE"""),"Reinurm")</f>
        <v>Reinurm</v>
      </c>
      <c r="D137" s="2">
        <f ca="1">IFERROR(__xludf.DUMMYFUNCTION("""COMPUTED_VALUE"""),0)</f>
        <v>0</v>
      </c>
      <c r="E137" s="2">
        <f ca="1">IFERROR(__xludf.DUMMYFUNCTION("""COMPUTED_VALUE"""),258)</f>
        <v>258</v>
      </c>
      <c r="F137" s="2">
        <f ca="1">IFERROR(__xludf.DUMMYFUNCTION("""COMPUTED_VALUE"""),0)</f>
        <v>0</v>
      </c>
      <c r="G137" s="2">
        <f ca="1">IFERROR(__xludf.DUMMYFUNCTION("""COMPUTED_VALUE"""),258)</f>
        <v>258</v>
      </c>
      <c r="H137" s="2">
        <f ca="1">IFERROR(__xludf.DUMMYFUNCTION("""COMPUTED_VALUE"""),133)</f>
        <v>133</v>
      </c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">
      <c r="A138" s="2">
        <f ca="1">IFERROR(__xludf.DUMMYFUNCTION("""COMPUTED_VALUE"""),74)</f>
        <v>74</v>
      </c>
      <c r="B138" s="2" t="str">
        <f ca="1">IFERROR(__xludf.DUMMYFUNCTION("""COMPUTED_VALUE"""),"Joonas")</f>
        <v>Joonas</v>
      </c>
      <c r="C138" s="2" t="str">
        <f ca="1">IFERROR(__xludf.DUMMYFUNCTION("""COMPUTED_VALUE"""),"Kikerpill")</f>
        <v>Kikerpill</v>
      </c>
      <c r="D138" s="2">
        <f ca="1">IFERROR(__xludf.DUMMYFUNCTION("""COMPUTED_VALUE"""),0)</f>
        <v>0</v>
      </c>
      <c r="E138" s="2">
        <f ca="1">IFERROR(__xludf.DUMMYFUNCTION("""COMPUTED_VALUE"""),255)</f>
        <v>255</v>
      </c>
      <c r="F138" s="2">
        <f ca="1">IFERROR(__xludf.DUMMYFUNCTION("""COMPUTED_VALUE"""),0)</f>
        <v>0</v>
      </c>
      <c r="G138" s="2">
        <f ca="1">IFERROR(__xludf.DUMMYFUNCTION("""COMPUTED_VALUE"""),255)</f>
        <v>255</v>
      </c>
      <c r="H138" s="2">
        <f ca="1">IFERROR(__xludf.DUMMYFUNCTION("""COMPUTED_VALUE"""),134)</f>
        <v>134</v>
      </c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">
      <c r="A139" s="2">
        <f ca="1">IFERROR(__xludf.DUMMYFUNCTION("""COMPUTED_VALUE"""),78)</f>
        <v>78</v>
      </c>
      <c r="B139" s="2" t="str">
        <f ca="1">IFERROR(__xludf.DUMMYFUNCTION("""COMPUTED_VALUE"""),"Jaen")</f>
        <v>Jaen</v>
      </c>
      <c r="C139" s="2" t="str">
        <f ca="1">IFERROR(__xludf.DUMMYFUNCTION("""COMPUTED_VALUE"""),"Ots")</f>
        <v>Ots</v>
      </c>
      <c r="D139" s="2">
        <f ca="1">IFERROR(__xludf.DUMMYFUNCTION("""COMPUTED_VALUE"""),0)</f>
        <v>0</v>
      </c>
      <c r="E139" s="2">
        <f ca="1">IFERROR(__xludf.DUMMYFUNCTION("""COMPUTED_VALUE"""),255)</f>
        <v>255</v>
      </c>
      <c r="F139" s="2">
        <f ca="1">IFERROR(__xludf.DUMMYFUNCTION("""COMPUTED_VALUE"""),0)</f>
        <v>0</v>
      </c>
      <c r="G139" s="2">
        <f ca="1">IFERROR(__xludf.DUMMYFUNCTION("""COMPUTED_VALUE"""),255)</f>
        <v>255</v>
      </c>
      <c r="H139" s="2">
        <f ca="1">IFERROR(__xludf.DUMMYFUNCTION("""COMPUTED_VALUE"""),134)</f>
        <v>134</v>
      </c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">
      <c r="A140" s="2">
        <f ca="1">IFERROR(__xludf.DUMMYFUNCTION("""COMPUTED_VALUE"""),162)</f>
        <v>162</v>
      </c>
      <c r="B140" s="2" t="str">
        <f ca="1">IFERROR(__xludf.DUMMYFUNCTION("""COMPUTED_VALUE"""),"Rainis")</f>
        <v>Rainis</v>
      </c>
      <c r="C140" s="2" t="str">
        <f ca="1">IFERROR(__xludf.DUMMYFUNCTION("""COMPUTED_VALUE"""),"Tohv")</f>
        <v>Tohv</v>
      </c>
      <c r="D140" s="2">
        <f ca="1">IFERROR(__xludf.DUMMYFUNCTION("""COMPUTED_VALUE"""),254)</f>
        <v>254</v>
      </c>
      <c r="E140" s="2">
        <f ca="1">IFERROR(__xludf.DUMMYFUNCTION("""COMPUTED_VALUE"""),0)</f>
        <v>0</v>
      </c>
      <c r="F140" s="2">
        <f ca="1">IFERROR(__xludf.DUMMYFUNCTION("""COMPUTED_VALUE"""),0)</f>
        <v>0</v>
      </c>
      <c r="G140" s="2">
        <f ca="1">IFERROR(__xludf.DUMMYFUNCTION("""COMPUTED_VALUE"""),254)</f>
        <v>254</v>
      </c>
      <c r="H140" s="2">
        <f ca="1">IFERROR(__xludf.DUMMYFUNCTION("""COMPUTED_VALUE"""),136)</f>
        <v>136</v>
      </c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">
      <c r="A141" s="2">
        <f ca="1">IFERROR(__xludf.DUMMYFUNCTION("""COMPUTED_VALUE"""),168)</f>
        <v>168</v>
      </c>
      <c r="B141" s="2" t="str">
        <f ca="1">IFERROR(__xludf.DUMMYFUNCTION("""COMPUTED_VALUE"""),"Alla")</f>
        <v>Alla</v>
      </c>
      <c r="C141" s="2" t="str">
        <f ca="1">IFERROR(__xludf.DUMMYFUNCTION("""COMPUTED_VALUE"""),"Milogradskaja")</f>
        <v>Milogradskaja</v>
      </c>
      <c r="D141" s="2">
        <f ca="1">IFERROR(__xludf.DUMMYFUNCTION("""COMPUTED_VALUE"""),252)</f>
        <v>252</v>
      </c>
      <c r="E141" s="2">
        <f ca="1">IFERROR(__xludf.DUMMYFUNCTION("""COMPUTED_VALUE"""),0)</f>
        <v>0</v>
      </c>
      <c r="F141" s="2">
        <f ca="1">IFERROR(__xludf.DUMMYFUNCTION("""COMPUTED_VALUE"""),0)</f>
        <v>0</v>
      </c>
      <c r="G141" s="2">
        <f ca="1">IFERROR(__xludf.DUMMYFUNCTION("""COMPUTED_VALUE"""),252)</f>
        <v>252</v>
      </c>
      <c r="H141" s="2">
        <f ca="1">IFERROR(__xludf.DUMMYFUNCTION("""COMPUTED_VALUE"""),137)</f>
        <v>137</v>
      </c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">
      <c r="A142" s="2">
        <f ca="1">IFERROR(__xludf.DUMMYFUNCTION("""COMPUTED_VALUE"""),163)</f>
        <v>163</v>
      </c>
      <c r="B142" s="2" t="str">
        <f ca="1">IFERROR(__xludf.DUMMYFUNCTION("""COMPUTED_VALUE"""),"Marianne")</f>
        <v>Marianne</v>
      </c>
      <c r="C142" s="2" t="str">
        <f ca="1">IFERROR(__xludf.DUMMYFUNCTION("""COMPUTED_VALUE"""),"Meister")</f>
        <v>Meister</v>
      </c>
      <c r="D142" s="2">
        <f ca="1">IFERROR(__xludf.DUMMYFUNCTION("""COMPUTED_VALUE"""),251)</f>
        <v>251</v>
      </c>
      <c r="E142" s="2">
        <f ca="1">IFERROR(__xludf.DUMMYFUNCTION("""COMPUTED_VALUE"""),0)</f>
        <v>0</v>
      </c>
      <c r="F142" s="2">
        <f ca="1">IFERROR(__xludf.DUMMYFUNCTION("""COMPUTED_VALUE"""),0)</f>
        <v>0</v>
      </c>
      <c r="G142" s="2">
        <f ca="1">IFERROR(__xludf.DUMMYFUNCTION("""COMPUTED_VALUE"""),251)</f>
        <v>251</v>
      </c>
      <c r="H142" s="2">
        <f ca="1">IFERROR(__xludf.DUMMYFUNCTION("""COMPUTED_VALUE"""),138)</f>
        <v>138</v>
      </c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">
      <c r="A143" s="2">
        <f ca="1">IFERROR(__xludf.DUMMYFUNCTION("""COMPUTED_VALUE"""),178)</f>
        <v>178</v>
      </c>
      <c r="B143" s="2" t="str">
        <f ca="1">IFERROR(__xludf.DUMMYFUNCTION("""COMPUTED_VALUE"""),"Gerli")</f>
        <v>Gerli</v>
      </c>
      <c r="C143" s="2" t="str">
        <f ca="1">IFERROR(__xludf.DUMMYFUNCTION("""COMPUTED_VALUE"""),"Leit")</f>
        <v>Leit</v>
      </c>
      <c r="D143" s="2">
        <f ca="1">IFERROR(__xludf.DUMMYFUNCTION("""COMPUTED_VALUE"""),251)</f>
        <v>251</v>
      </c>
      <c r="E143" s="2">
        <f ca="1">IFERROR(__xludf.DUMMYFUNCTION("""COMPUTED_VALUE"""),0)</f>
        <v>0</v>
      </c>
      <c r="F143" s="2">
        <f ca="1">IFERROR(__xludf.DUMMYFUNCTION("""COMPUTED_VALUE"""),0)</f>
        <v>0</v>
      </c>
      <c r="G143" s="2">
        <f ca="1">IFERROR(__xludf.DUMMYFUNCTION("""COMPUTED_VALUE"""),251)</f>
        <v>251</v>
      </c>
      <c r="H143" s="2">
        <f ca="1">IFERROR(__xludf.DUMMYFUNCTION("""COMPUTED_VALUE"""),138)</f>
        <v>138</v>
      </c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">
      <c r="A144" s="2">
        <f ca="1">IFERROR(__xludf.DUMMYFUNCTION("""COMPUTED_VALUE"""),15)</f>
        <v>15</v>
      </c>
      <c r="B144" s="2" t="str">
        <f ca="1">IFERROR(__xludf.DUMMYFUNCTION("""COMPUTED_VALUE"""),"Triin")</f>
        <v>Triin</v>
      </c>
      <c r="C144" s="2" t="str">
        <f ca="1">IFERROR(__xludf.DUMMYFUNCTION("""COMPUTED_VALUE"""),"Tähtla")</f>
        <v>Tähtla</v>
      </c>
      <c r="D144" s="2">
        <f ca="1">IFERROR(__xludf.DUMMYFUNCTION("""COMPUTED_VALUE"""),250)</f>
        <v>250</v>
      </c>
      <c r="E144" s="2">
        <f ca="1">IFERROR(__xludf.DUMMYFUNCTION("""COMPUTED_VALUE"""),0)</f>
        <v>0</v>
      </c>
      <c r="F144" s="2">
        <f ca="1">IFERROR(__xludf.DUMMYFUNCTION("""COMPUTED_VALUE"""),0)</f>
        <v>0</v>
      </c>
      <c r="G144" s="2">
        <f ca="1">IFERROR(__xludf.DUMMYFUNCTION("""COMPUTED_VALUE"""),250)</f>
        <v>250</v>
      </c>
      <c r="H144" s="2">
        <f ca="1">IFERROR(__xludf.DUMMYFUNCTION("""COMPUTED_VALUE"""),140)</f>
        <v>140</v>
      </c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">
      <c r="A145" s="2">
        <f ca="1">IFERROR(__xludf.DUMMYFUNCTION("""COMPUTED_VALUE"""),173)</f>
        <v>173</v>
      </c>
      <c r="B145" s="2" t="str">
        <f ca="1">IFERROR(__xludf.DUMMYFUNCTION("""COMPUTED_VALUE"""),"Andra")</f>
        <v>Andra</v>
      </c>
      <c r="C145" s="2" t="str">
        <f ca="1">IFERROR(__xludf.DUMMYFUNCTION("""COMPUTED_VALUE"""),"Soopa")</f>
        <v>Soopa</v>
      </c>
      <c r="D145" s="2">
        <f ca="1">IFERROR(__xludf.DUMMYFUNCTION("""COMPUTED_VALUE"""),248)</f>
        <v>248</v>
      </c>
      <c r="E145" s="2">
        <f ca="1">IFERROR(__xludf.DUMMYFUNCTION("""COMPUTED_VALUE"""),0)</f>
        <v>0</v>
      </c>
      <c r="F145" s="2">
        <f ca="1">IFERROR(__xludf.DUMMYFUNCTION("""COMPUTED_VALUE"""),0)</f>
        <v>0</v>
      </c>
      <c r="G145" s="2">
        <f ca="1">IFERROR(__xludf.DUMMYFUNCTION("""COMPUTED_VALUE"""),248)</f>
        <v>248</v>
      </c>
      <c r="H145" s="2">
        <f ca="1">IFERROR(__xludf.DUMMYFUNCTION("""COMPUTED_VALUE"""),141)</f>
        <v>141</v>
      </c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">
      <c r="A146" s="2">
        <f ca="1">IFERROR(__xludf.DUMMYFUNCTION("""COMPUTED_VALUE"""),165)</f>
        <v>165</v>
      </c>
      <c r="B146" s="2" t="str">
        <f ca="1">IFERROR(__xludf.DUMMYFUNCTION("""COMPUTED_VALUE"""),"Aare")</f>
        <v>Aare</v>
      </c>
      <c r="C146" s="2" t="str">
        <f ca="1">IFERROR(__xludf.DUMMYFUNCTION("""COMPUTED_VALUE"""),"Niinepuu")</f>
        <v>Niinepuu</v>
      </c>
      <c r="D146" s="2">
        <f ca="1">IFERROR(__xludf.DUMMYFUNCTION("""COMPUTED_VALUE"""),247)</f>
        <v>247</v>
      </c>
      <c r="E146" s="2">
        <f ca="1">IFERROR(__xludf.DUMMYFUNCTION("""COMPUTED_VALUE"""),0)</f>
        <v>0</v>
      </c>
      <c r="F146" s="2">
        <f ca="1">IFERROR(__xludf.DUMMYFUNCTION("""COMPUTED_VALUE"""),0)</f>
        <v>0</v>
      </c>
      <c r="G146" s="2">
        <f ca="1">IFERROR(__xludf.DUMMYFUNCTION("""COMPUTED_VALUE"""),247)</f>
        <v>247</v>
      </c>
      <c r="H146" s="2">
        <f ca="1">IFERROR(__xludf.DUMMYFUNCTION("""COMPUTED_VALUE"""),142)</f>
        <v>142</v>
      </c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">
      <c r="A147" s="2">
        <f ca="1">IFERROR(__xludf.DUMMYFUNCTION("""COMPUTED_VALUE"""),179)</f>
        <v>179</v>
      </c>
      <c r="B147" s="2" t="str">
        <f ca="1">IFERROR(__xludf.DUMMYFUNCTION("""COMPUTED_VALUE"""),"Siret")</f>
        <v>Siret</v>
      </c>
      <c r="C147" s="2" t="str">
        <f ca="1">IFERROR(__xludf.DUMMYFUNCTION("""COMPUTED_VALUE"""),"Niinepuu")</f>
        <v>Niinepuu</v>
      </c>
      <c r="D147" s="2">
        <f ca="1">IFERROR(__xludf.DUMMYFUNCTION("""COMPUTED_VALUE"""),247)</f>
        <v>247</v>
      </c>
      <c r="E147" s="2">
        <f ca="1">IFERROR(__xludf.DUMMYFUNCTION("""COMPUTED_VALUE"""),0)</f>
        <v>0</v>
      </c>
      <c r="F147" s="2">
        <f ca="1">IFERROR(__xludf.DUMMYFUNCTION("""COMPUTED_VALUE"""),0)</f>
        <v>0</v>
      </c>
      <c r="G147" s="2">
        <f ca="1">IFERROR(__xludf.DUMMYFUNCTION("""COMPUTED_VALUE"""),247)</f>
        <v>247</v>
      </c>
      <c r="H147" s="2">
        <f ca="1">IFERROR(__xludf.DUMMYFUNCTION("""COMPUTED_VALUE"""),142)</f>
        <v>142</v>
      </c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">
      <c r="A148" s="2">
        <f ca="1">IFERROR(__xludf.DUMMYFUNCTION("""COMPUTED_VALUE"""),80)</f>
        <v>80</v>
      </c>
      <c r="B148" s="2" t="str">
        <f ca="1">IFERROR(__xludf.DUMMYFUNCTION("""COMPUTED_VALUE"""),"Kert")</f>
        <v>Kert</v>
      </c>
      <c r="C148" s="2" t="str">
        <f ca="1">IFERROR(__xludf.DUMMYFUNCTION("""COMPUTED_VALUE"""),"Kreem")</f>
        <v>Kreem</v>
      </c>
      <c r="D148" s="2">
        <f ca="1">IFERROR(__xludf.DUMMYFUNCTION("""COMPUTED_VALUE"""),0)</f>
        <v>0</v>
      </c>
      <c r="E148" s="2">
        <f ca="1">IFERROR(__xludf.DUMMYFUNCTION("""COMPUTED_VALUE"""),246)</f>
        <v>246</v>
      </c>
      <c r="F148" s="2">
        <f ca="1">IFERROR(__xludf.DUMMYFUNCTION("""COMPUTED_VALUE"""),0)</f>
        <v>0</v>
      </c>
      <c r="G148" s="2">
        <f ca="1">IFERROR(__xludf.DUMMYFUNCTION("""COMPUTED_VALUE"""),246)</f>
        <v>246</v>
      </c>
      <c r="H148" s="2">
        <f ca="1">IFERROR(__xludf.DUMMYFUNCTION("""COMPUTED_VALUE"""),144)</f>
        <v>144</v>
      </c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">
      <c r="A149" s="2">
        <f ca="1">IFERROR(__xludf.DUMMYFUNCTION("""COMPUTED_VALUE"""),1)</f>
        <v>1</v>
      </c>
      <c r="B149" s="2" t="str">
        <f ca="1">IFERROR(__xludf.DUMMYFUNCTION("""COMPUTED_VALUE"""),"Viktor")</f>
        <v>Viktor</v>
      </c>
      <c r="C149" s="2" t="str">
        <f ca="1">IFERROR(__xludf.DUMMYFUNCTION("""COMPUTED_VALUE"""),"Lillepruun")</f>
        <v>Lillepruun</v>
      </c>
      <c r="D149" s="2">
        <f ca="1">IFERROR(__xludf.DUMMYFUNCTION("""COMPUTED_VALUE"""),244)</f>
        <v>244</v>
      </c>
      <c r="E149" s="2">
        <f ca="1">IFERROR(__xludf.DUMMYFUNCTION("""COMPUTED_VALUE"""),0)</f>
        <v>0</v>
      </c>
      <c r="F149" s="2">
        <f ca="1">IFERROR(__xludf.DUMMYFUNCTION("""COMPUTED_VALUE"""),0)</f>
        <v>0</v>
      </c>
      <c r="G149" s="2">
        <f ca="1">IFERROR(__xludf.DUMMYFUNCTION("""COMPUTED_VALUE"""),244)</f>
        <v>244</v>
      </c>
      <c r="H149" s="2">
        <f ca="1">IFERROR(__xludf.DUMMYFUNCTION("""COMPUTED_VALUE"""),145)</f>
        <v>145</v>
      </c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">
      <c r="A150" s="2">
        <f ca="1">IFERROR(__xludf.DUMMYFUNCTION("""COMPUTED_VALUE"""),159)</f>
        <v>159</v>
      </c>
      <c r="B150" s="2" t="str">
        <f ca="1">IFERROR(__xludf.DUMMYFUNCTION("""COMPUTED_VALUE"""),"Siret")</f>
        <v>Siret</v>
      </c>
      <c r="C150" s="2" t="str">
        <f ca="1">IFERROR(__xludf.DUMMYFUNCTION("""COMPUTED_VALUE"""),"Vinkel")</f>
        <v>Vinkel</v>
      </c>
      <c r="D150" s="2">
        <f ca="1">IFERROR(__xludf.DUMMYFUNCTION("""COMPUTED_VALUE"""),243)</f>
        <v>243</v>
      </c>
      <c r="E150" s="2">
        <f ca="1">IFERROR(__xludf.DUMMYFUNCTION("""COMPUTED_VALUE"""),0)</f>
        <v>0</v>
      </c>
      <c r="F150" s="2">
        <f ca="1">IFERROR(__xludf.DUMMYFUNCTION("""COMPUTED_VALUE"""),0)</f>
        <v>0</v>
      </c>
      <c r="G150" s="2">
        <f ca="1">IFERROR(__xludf.DUMMYFUNCTION("""COMPUTED_VALUE"""),243)</f>
        <v>243</v>
      </c>
      <c r="H150" s="2">
        <f ca="1">IFERROR(__xludf.DUMMYFUNCTION("""COMPUTED_VALUE"""),146)</f>
        <v>146</v>
      </c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">
      <c r="A151" s="2">
        <f ca="1">IFERROR(__xludf.DUMMYFUNCTION("""COMPUTED_VALUE"""),160)</f>
        <v>160</v>
      </c>
      <c r="B151" s="2" t="str">
        <f ca="1">IFERROR(__xludf.DUMMYFUNCTION("""COMPUTED_VALUE"""),"Õnne-Liisi")</f>
        <v>Õnne-Liisi</v>
      </c>
      <c r="C151" s="2" t="str">
        <f ca="1">IFERROR(__xludf.DUMMYFUNCTION("""COMPUTED_VALUE"""),"Viidas")</f>
        <v>Viidas</v>
      </c>
      <c r="D151" s="2">
        <f ca="1">IFERROR(__xludf.DUMMYFUNCTION("""COMPUTED_VALUE"""),243)</f>
        <v>243</v>
      </c>
      <c r="E151" s="2">
        <f ca="1">IFERROR(__xludf.DUMMYFUNCTION("""COMPUTED_VALUE"""),0)</f>
        <v>0</v>
      </c>
      <c r="F151" s="2">
        <f ca="1">IFERROR(__xludf.DUMMYFUNCTION("""COMPUTED_VALUE"""),0)</f>
        <v>0</v>
      </c>
      <c r="G151" s="2">
        <f ca="1">IFERROR(__xludf.DUMMYFUNCTION("""COMPUTED_VALUE"""),243)</f>
        <v>243</v>
      </c>
      <c r="H151" s="2">
        <f ca="1">IFERROR(__xludf.DUMMYFUNCTION("""COMPUTED_VALUE"""),146)</f>
        <v>146</v>
      </c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">
      <c r="A152" s="2">
        <f ca="1">IFERROR(__xludf.DUMMYFUNCTION("""COMPUTED_VALUE"""),197)</f>
        <v>197</v>
      </c>
      <c r="B152" s="2" t="str">
        <f ca="1">IFERROR(__xludf.DUMMYFUNCTION("""COMPUTED_VALUE"""),"Margus")</f>
        <v>Margus</v>
      </c>
      <c r="C152" s="2" t="str">
        <f ca="1">IFERROR(__xludf.DUMMYFUNCTION("""COMPUTED_VALUE"""),"Purlau")</f>
        <v>Purlau</v>
      </c>
      <c r="D152" s="2">
        <f ca="1">IFERROR(__xludf.DUMMYFUNCTION("""COMPUTED_VALUE"""),0)</f>
        <v>0</v>
      </c>
      <c r="E152" s="2">
        <f ca="1">IFERROR(__xludf.DUMMYFUNCTION("""COMPUTED_VALUE"""),243)</f>
        <v>243</v>
      </c>
      <c r="F152" s="2" t="str">
        <f ca="1">IFERROR(__xludf.DUMMYFUNCTION("""COMPUTED_VALUE"""),"")</f>
        <v/>
      </c>
      <c r="G152" s="2">
        <f ca="1">IFERROR(__xludf.DUMMYFUNCTION("""COMPUTED_VALUE"""),243)</f>
        <v>243</v>
      </c>
      <c r="H152" s="2">
        <f ca="1">IFERROR(__xludf.DUMMYFUNCTION("""COMPUTED_VALUE"""),146)</f>
        <v>146</v>
      </c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">
      <c r="A153" s="2">
        <f ca="1">IFERROR(__xludf.DUMMYFUNCTION("""COMPUTED_VALUE"""),138)</f>
        <v>138</v>
      </c>
      <c r="B153" s="2" t="str">
        <f ca="1">IFERROR(__xludf.DUMMYFUNCTION("""COMPUTED_VALUE"""),"Toomas")</f>
        <v>Toomas</v>
      </c>
      <c r="C153" s="2" t="str">
        <f ca="1">IFERROR(__xludf.DUMMYFUNCTION("""COMPUTED_VALUE"""),"Juksaar")</f>
        <v>Juksaar</v>
      </c>
      <c r="D153" s="2">
        <f ca="1">IFERROR(__xludf.DUMMYFUNCTION("""COMPUTED_VALUE"""),0)</f>
        <v>0</v>
      </c>
      <c r="E153" s="2">
        <f ca="1">IFERROR(__xludf.DUMMYFUNCTION("""COMPUTED_VALUE"""),0)</f>
        <v>0</v>
      </c>
      <c r="F153" s="2">
        <f ca="1">IFERROR(__xludf.DUMMYFUNCTION("""COMPUTED_VALUE"""),241)</f>
        <v>241</v>
      </c>
      <c r="G153" s="2">
        <f ca="1">IFERROR(__xludf.DUMMYFUNCTION("""COMPUTED_VALUE"""),241)</f>
        <v>241</v>
      </c>
      <c r="H153" s="2">
        <f ca="1">IFERROR(__xludf.DUMMYFUNCTION("""COMPUTED_VALUE"""),149)</f>
        <v>149</v>
      </c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">
      <c r="A154" s="2">
        <f ca="1">IFERROR(__xludf.DUMMYFUNCTION("""COMPUTED_VALUE"""),206)</f>
        <v>206</v>
      </c>
      <c r="B154" s="2" t="str">
        <f ca="1">IFERROR(__xludf.DUMMYFUNCTION("""COMPUTED_VALUE"""),"Vaiko")</f>
        <v>Vaiko</v>
      </c>
      <c r="C154" s="2" t="str">
        <f ca="1">IFERROR(__xludf.DUMMYFUNCTION("""COMPUTED_VALUE"""),"Kütismaa")</f>
        <v>Kütismaa</v>
      </c>
      <c r="D154" s="2">
        <f ca="1">IFERROR(__xludf.DUMMYFUNCTION("""COMPUTED_VALUE"""),241)</f>
        <v>241</v>
      </c>
      <c r="E154" s="2"/>
      <c r="F154" s="2" t="str">
        <f ca="1">IFERROR(__xludf.DUMMYFUNCTION("""COMPUTED_VALUE"""),"")</f>
        <v/>
      </c>
      <c r="G154" s="2">
        <f ca="1">IFERROR(__xludf.DUMMYFUNCTION("""COMPUTED_VALUE"""),241)</f>
        <v>241</v>
      </c>
      <c r="H154" s="2">
        <f ca="1">IFERROR(__xludf.DUMMYFUNCTION("""COMPUTED_VALUE"""),149)</f>
        <v>149</v>
      </c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">
      <c r="A155" s="2">
        <f ca="1">IFERROR(__xludf.DUMMYFUNCTION("""COMPUTED_VALUE"""),81)</f>
        <v>81</v>
      </c>
      <c r="B155" s="2" t="str">
        <f ca="1">IFERROR(__xludf.DUMMYFUNCTION("""COMPUTED_VALUE"""),"Aado")</f>
        <v>Aado</v>
      </c>
      <c r="C155" s="2" t="str">
        <f ca="1">IFERROR(__xludf.DUMMYFUNCTION("""COMPUTED_VALUE"""),"Toomsalu")</f>
        <v>Toomsalu</v>
      </c>
      <c r="D155" s="2">
        <f ca="1">IFERROR(__xludf.DUMMYFUNCTION("""COMPUTED_VALUE"""),0)</f>
        <v>0</v>
      </c>
      <c r="E155" s="2">
        <f ca="1">IFERROR(__xludf.DUMMYFUNCTION("""COMPUTED_VALUE"""),238)</f>
        <v>238</v>
      </c>
      <c r="F155" s="2">
        <f ca="1">IFERROR(__xludf.DUMMYFUNCTION("""COMPUTED_VALUE"""),0)</f>
        <v>0</v>
      </c>
      <c r="G155" s="2">
        <f ca="1">IFERROR(__xludf.DUMMYFUNCTION("""COMPUTED_VALUE"""),238)</f>
        <v>238</v>
      </c>
      <c r="H155" s="2">
        <f ca="1">IFERROR(__xludf.DUMMYFUNCTION("""COMPUTED_VALUE"""),151)</f>
        <v>151</v>
      </c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">
      <c r="A156" s="2">
        <f ca="1">IFERROR(__xludf.DUMMYFUNCTION("""COMPUTED_VALUE"""),171)</f>
        <v>171</v>
      </c>
      <c r="B156" s="2" t="str">
        <f ca="1">IFERROR(__xludf.DUMMYFUNCTION("""COMPUTED_VALUE"""),"Urmas")</f>
        <v>Urmas</v>
      </c>
      <c r="C156" s="2" t="str">
        <f ca="1">IFERROR(__xludf.DUMMYFUNCTION("""COMPUTED_VALUE"""),"Feldmann")</f>
        <v>Feldmann</v>
      </c>
      <c r="D156" s="2">
        <f ca="1">IFERROR(__xludf.DUMMYFUNCTION("""COMPUTED_VALUE"""),238)</f>
        <v>238</v>
      </c>
      <c r="E156" s="2">
        <f ca="1">IFERROR(__xludf.DUMMYFUNCTION("""COMPUTED_VALUE"""),0)</f>
        <v>0</v>
      </c>
      <c r="F156" s="2">
        <f ca="1">IFERROR(__xludf.DUMMYFUNCTION("""COMPUTED_VALUE"""),0)</f>
        <v>0</v>
      </c>
      <c r="G156" s="2">
        <f ca="1">IFERROR(__xludf.DUMMYFUNCTION("""COMPUTED_VALUE"""),238)</f>
        <v>238</v>
      </c>
      <c r="H156" s="2">
        <f ca="1">IFERROR(__xludf.DUMMYFUNCTION("""COMPUTED_VALUE"""),151)</f>
        <v>151</v>
      </c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">
      <c r="A157" s="2">
        <f ca="1">IFERROR(__xludf.DUMMYFUNCTION("""COMPUTED_VALUE"""),3)</f>
        <v>3</v>
      </c>
      <c r="B157" s="2" t="str">
        <f ca="1">IFERROR(__xludf.DUMMYFUNCTION("""COMPUTED_VALUE"""),"Ants")</f>
        <v>Ants</v>
      </c>
      <c r="C157" s="2" t="str">
        <f ca="1">IFERROR(__xludf.DUMMYFUNCTION("""COMPUTED_VALUE"""),"Pertelson")</f>
        <v>Pertelson</v>
      </c>
      <c r="D157" s="2">
        <f ca="1">IFERROR(__xludf.DUMMYFUNCTION("""COMPUTED_VALUE"""),236)</f>
        <v>236</v>
      </c>
      <c r="E157" s="2">
        <f ca="1">IFERROR(__xludf.DUMMYFUNCTION("""COMPUTED_VALUE"""),0)</f>
        <v>0</v>
      </c>
      <c r="F157" s="2">
        <f ca="1">IFERROR(__xludf.DUMMYFUNCTION("""COMPUTED_VALUE"""),0)</f>
        <v>0</v>
      </c>
      <c r="G157" s="2">
        <f ca="1">IFERROR(__xludf.DUMMYFUNCTION("""COMPUTED_VALUE"""),236)</f>
        <v>236</v>
      </c>
      <c r="H157" s="2">
        <f ca="1">IFERROR(__xludf.DUMMYFUNCTION("""COMPUTED_VALUE"""),153)</f>
        <v>153</v>
      </c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">
      <c r="A158" s="2">
        <f ca="1">IFERROR(__xludf.DUMMYFUNCTION("""COMPUTED_VALUE"""),177)</f>
        <v>177</v>
      </c>
      <c r="B158" s="2" t="str">
        <f ca="1">IFERROR(__xludf.DUMMYFUNCTION("""COMPUTED_VALUE"""),"Karl")</f>
        <v>Karl</v>
      </c>
      <c r="C158" s="2" t="str">
        <f ca="1">IFERROR(__xludf.DUMMYFUNCTION("""COMPUTED_VALUE"""),"Essi")</f>
        <v>Essi</v>
      </c>
      <c r="D158" s="2">
        <f ca="1">IFERROR(__xludf.DUMMYFUNCTION("""COMPUTED_VALUE"""),236)</f>
        <v>236</v>
      </c>
      <c r="E158" s="2">
        <f ca="1">IFERROR(__xludf.DUMMYFUNCTION("""COMPUTED_VALUE"""),0)</f>
        <v>0</v>
      </c>
      <c r="F158" s="2">
        <f ca="1">IFERROR(__xludf.DUMMYFUNCTION("""COMPUTED_VALUE"""),0)</f>
        <v>0</v>
      </c>
      <c r="G158" s="2">
        <f ca="1">IFERROR(__xludf.DUMMYFUNCTION("""COMPUTED_VALUE"""),236)</f>
        <v>236</v>
      </c>
      <c r="H158" s="2">
        <f ca="1">IFERROR(__xludf.DUMMYFUNCTION("""COMPUTED_VALUE"""),153)</f>
        <v>153</v>
      </c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">
      <c r="A159" s="2">
        <f ca="1">IFERROR(__xludf.DUMMYFUNCTION("""COMPUTED_VALUE"""),175)</f>
        <v>175</v>
      </c>
      <c r="B159" s="2" t="str">
        <f ca="1">IFERROR(__xludf.DUMMYFUNCTION("""COMPUTED_VALUE"""),"Vootele")</f>
        <v>Vootele</v>
      </c>
      <c r="C159" s="2" t="str">
        <f ca="1">IFERROR(__xludf.DUMMYFUNCTION("""COMPUTED_VALUE"""),"Voit")</f>
        <v>Voit</v>
      </c>
      <c r="D159" s="2">
        <f ca="1">IFERROR(__xludf.DUMMYFUNCTION("""COMPUTED_VALUE"""),235)</f>
        <v>235</v>
      </c>
      <c r="E159" s="2">
        <f ca="1">IFERROR(__xludf.DUMMYFUNCTION("""COMPUTED_VALUE"""),0)</f>
        <v>0</v>
      </c>
      <c r="F159" s="2">
        <f ca="1">IFERROR(__xludf.DUMMYFUNCTION("""COMPUTED_VALUE"""),0)</f>
        <v>0</v>
      </c>
      <c r="G159" s="2">
        <f ca="1">IFERROR(__xludf.DUMMYFUNCTION("""COMPUTED_VALUE"""),235)</f>
        <v>235</v>
      </c>
      <c r="H159" s="2">
        <f ca="1">IFERROR(__xludf.DUMMYFUNCTION("""COMPUTED_VALUE"""),155)</f>
        <v>155</v>
      </c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">
      <c r="A160" s="2">
        <f ca="1">IFERROR(__xludf.DUMMYFUNCTION("""COMPUTED_VALUE"""),82)</f>
        <v>82</v>
      </c>
      <c r="B160" s="2" t="str">
        <f ca="1">IFERROR(__xludf.DUMMYFUNCTION("""COMPUTED_VALUE"""),"Reena")</f>
        <v>Reena</v>
      </c>
      <c r="C160" s="2" t="str">
        <f ca="1">IFERROR(__xludf.DUMMYFUNCTION("""COMPUTED_VALUE"""),"Ley")</f>
        <v>Ley</v>
      </c>
      <c r="D160" s="2">
        <f ca="1">IFERROR(__xludf.DUMMYFUNCTION("""COMPUTED_VALUE"""),94)</f>
        <v>94</v>
      </c>
      <c r="E160" s="2">
        <f ca="1">IFERROR(__xludf.DUMMYFUNCTION("""COMPUTED_VALUE"""),139)</f>
        <v>139</v>
      </c>
      <c r="F160" s="2">
        <f ca="1">IFERROR(__xludf.DUMMYFUNCTION("""COMPUTED_VALUE"""),0)</f>
        <v>0</v>
      </c>
      <c r="G160" s="2">
        <f ca="1">IFERROR(__xludf.DUMMYFUNCTION("""COMPUTED_VALUE"""),233)</f>
        <v>233</v>
      </c>
      <c r="H160" s="2">
        <f ca="1">IFERROR(__xludf.DUMMYFUNCTION("""COMPUTED_VALUE"""),156)</f>
        <v>156</v>
      </c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">
      <c r="A161" s="2">
        <f ca="1">IFERROR(__xludf.DUMMYFUNCTION("""COMPUTED_VALUE"""),203)</f>
        <v>203</v>
      </c>
      <c r="B161" s="2" t="str">
        <f ca="1">IFERROR(__xludf.DUMMYFUNCTION("""COMPUTED_VALUE"""),"Leo")</f>
        <v>Leo</v>
      </c>
      <c r="C161" s="2" t="str">
        <f ca="1">IFERROR(__xludf.DUMMYFUNCTION("""COMPUTED_VALUE"""),"Käige")</f>
        <v>Käige</v>
      </c>
      <c r="D161" s="2">
        <f ca="1">IFERROR(__xludf.DUMMYFUNCTION("""COMPUTED_VALUE"""),232)</f>
        <v>232</v>
      </c>
      <c r="E161" s="2">
        <f ca="1">IFERROR(__xludf.DUMMYFUNCTION("""COMPUTED_VALUE"""),0)</f>
        <v>0</v>
      </c>
      <c r="F161" s="2" t="str">
        <f ca="1">IFERROR(__xludf.DUMMYFUNCTION("""COMPUTED_VALUE"""),"")</f>
        <v/>
      </c>
      <c r="G161" s="2">
        <f ca="1">IFERROR(__xludf.DUMMYFUNCTION("""COMPUTED_VALUE"""),232)</f>
        <v>232</v>
      </c>
      <c r="H161" s="2">
        <f ca="1">IFERROR(__xludf.DUMMYFUNCTION("""COMPUTED_VALUE"""),157)</f>
        <v>157</v>
      </c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">
      <c r="A162" s="2">
        <f ca="1">IFERROR(__xludf.DUMMYFUNCTION("""COMPUTED_VALUE"""),105)</f>
        <v>105</v>
      </c>
      <c r="B162" s="2" t="str">
        <f ca="1">IFERROR(__xludf.DUMMYFUNCTION("""COMPUTED_VALUE"""),"Kristina")</f>
        <v>Kristina</v>
      </c>
      <c r="C162" s="2" t="str">
        <f ca="1">IFERROR(__xludf.DUMMYFUNCTION("""COMPUTED_VALUE"""),"Polunina")</f>
        <v>Polunina</v>
      </c>
      <c r="D162" s="2">
        <f ca="1">IFERROR(__xludf.DUMMYFUNCTION("""COMPUTED_VALUE"""),0)</f>
        <v>0</v>
      </c>
      <c r="E162" s="2">
        <f ca="1">IFERROR(__xludf.DUMMYFUNCTION("""COMPUTED_VALUE"""),231)</f>
        <v>231</v>
      </c>
      <c r="F162" s="2">
        <f ca="1">IFERROR(__xludf.DUMMYFUNCTION("""COMPUTED_VALUE"""),0)</f>
        <v>0</v>
      </c>
      <c r="G162" s="2">
        <f ca="1">IFERROR(__xludf.DUMMYFUNCTION("""COMPUTED_VALUE"""),231)</f>
        <v>231</v>
      </c>
      <c r="H162" s="2">
        <f ca="1">IFERROR(__xludf.DUMMYFUNCTION("""COMPUTED_VALUE"""),158)</f>
        <v>158</v>
      </c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">
      <c r="A163" s="2">
        <f ca="1">IFERROR(__xludf.DUMMYFUNCTION("""COMPUTED_VALUE"""),204)</f>
        <v>204</v>
      </c>
      <c r="B163" s="2" t="str">
        <f ca="1">IFERROR(__xludf.DUMMYFUNCTION("""COMPUTED_VALUE"""),"Peeter")</f>
        <v>Peeter</v>
      </c>
      <c r="C163" s="2" t="str">
        <f ca="1">IFERROR(__xludf.DUMMYFUNCTION("""COMPUTED_VALUE"""),"Rebane")</f>
        <v>Rebane</v>
      </c>
      <c r="D163" s="2">
        <f ca="1">IFERROR(__xludf.DUMMYFUNCTION("""COMPUTED_VALUE"""),229)</f>
        <v>229</v>
      </c>
      <c r="E163" s="2">
        <f ca="1">IFERROR(__xludf.DUMMYFUNCTION("""COMPUTED_VALUE"""),0)</f>
        <v>0</v>
      </c>
      <c r="F163" s="2" t="str">
        <f ca="1">IFERROR(__xludf.DUMMYFUNCTION("""COMPUTED_VALUE"""),"")</f>
        <v/>
      </c>
      <c r="G163" s="2">
        <f ca="1">IFERROR(__xludf.DUMMYFUNCTION("""COMPUTED_VALUE"""),229)</f>
        <v>229</v>
      </c>
      <c r="H163" s="2">
        <f ca="1">IFERROR(__xludf.DUMMYFUNCTION("""COMPUTED_VALUE"""),159)</f>
        <v>159</v>
      </c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">
      <c r="A164" s="2">
        <f ca="1">IFERROR(__xludf.DUMMYFUNCTION("""COMPUTED_VALUE"""),196)</f>
        <v>196</v>
      </c>
      <c r="B164" s="2" t="str">
        <f ca="1">IFERROR(__xludf.DUMMYFUNCTION("""COMPUTED_VALUE"""),"Ivo")</f>
        <v>Ivo</v>
      </c>
      <c r="C164" s="2" t="str">
        <f ca="1">IFERROR(__xludf.DUMMYFUNCTION("""COMPUTED_VALUE"""),"Meller")</f>
        <v>Meller</v>
      </c>
      <c r="D164" s="2">
        <f ca="1">IFERROR(__xludf.DUMMYFUNCTION("""COMPUTED_VALUE"""),0)</f>
        <v>0</v>
      </c>
      <c r="E164" s="2">
        <f ca="1">IFERROR(__xludf.DUMMYFUNCTION("""COMPUTED_VALUE"""),228)</f>
        <v>228</v>
      </c>
      <c r="F164" s="2" t="str">
        <f ca="1">IFERROR(__xludf.DUMMYFUNCTION("""COMPUTED_VALUE"""),"")</f>
        <v/>
      </c>
      <c r="G164" s="2">
        <f ca="1">IFERROR(__xludf.DUMMYFUNCTION("""COMPUTED_VALUE"""),228)</f>
        <v>228</v>
      </c>
      <c r="H164" s="2">
        <f ca="1">IFERROR(__xludf.DUMMYFUNCTION("""COMPUTED_VALUE"""),160)</f>
        <v>160</v>
      </c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">
      <c r="A165" s="2">
        <f ca="1">IFERROR(__xludf.DUMMYFUNCTION("""COMPUTED_VALUE"""),13)</f>
        <v>13</v>
      </c>
      <c r="B165" s="2" t="str">
        <f ca="1">IFERROR(__xludf.DUMMYFUNCTION("""COMPUTED_VALUE"""),"Carmen")</f>
        <v>Carmen</v>
      </c>
      <c r="C165" s="2" t="str">
        <f ca="1">IFERROR(__xludf.DUMMYFUNCTION("""COMPUTED_VALUE"""),"Märk")</f>
        <v>Märk</v>
      </c>
      <c r="D165" s="2">
        <f ca="1">IFERROR(__xludf.DUMMYFUNCTION("""COMPUTED_VALUE"""),226)</f>
        <v>226</v>
      </c>
      <c r="E165" s="2">
        <f ca="1">IFERROR(__xludf.DUMMYFUNCTION("""COMPUTED_VALUE"""),0)</f>
        <v>0</v>
      </c>
      <c r="F165" s="2">
        <f ca="1">IFERROR(__xludf.DUMMYFUNCTION("""COMPUTED_VALUE"""),0)</f>
        <v>0</v>
      </c>
      <c r="G165" s="2">
        <f ca="1">IFERROR(__xludf.DUMMYFUNCTION("""COMPUTED_VALUE"""),226)</f>
        <v>226</v>
      </c>
      <c r="H165" s="2">
        <f ca="1">IFERROR(__xludf.DUMMYFUNCTION("""COMPUTED_VALUE"""),161)</f>
        <v>161</v>
      </c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">
      <c r="A166" s="2">
        <f ca="1">IFERROR(__xludf.DUMMYFUNCTION("""COMPUTED_VALUE"""),39)</f>
        <v>39</v>
      </c>
      <c r="B166" s="2" t="str">
        <f ca="1">IFERROR(__xludf.DUMMYFUNCTION("""COMPUTED_VALUE"""),"Katrin")</f>
        <v>Katrin</v>
      </c>
      <c r="C166" s="2" t="str">
        <f ca="1">IFERROR(__xludf.DUMMYFUNCTION("""COMPUTED_VALUE"""),"Urgard")</f>
        <v>Urgard</v>
      </c>
      <c r="D166" s="2">
        <f ca="1">IFERROR(__xludf.DUMMYFUNCTION("""COMPUTED_VALUE"""),0)</f>
        <v>0</v>
      </c>
      <c r="E166" s="2">
        <f ca="1">IFERROR(__xludf.DUMMYFUNCTION("""COMPUTED_VALUE"""),226)</f>
        <v>226</v>
      </c>
      <c r="F166" s="2">
        <f ca="1">IFERROR(__xludf.DUMMYFUNCTION("""COMPUTED_VALUE"""),0)</f>
        <v>0</v>
      </c>
      <c r="G166" s="2">
        <f ca="1">IFERROR(__xludf.DUMMYFUNCTION("""COMPUTED_VALUE"""),226)</f>
        <v>226</v>
      </c>
      <c r="H166" s="2">
        <f ca="1">IFERROR(__xludf.DUMMYFUNCTION("""COMPUTED_VALUE"""),161)</f>
        <v>161</v>
      </c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">
      <c r="A167" s="2">
        <f ca="1">IFERROR(__xludf.DUMMYFUNCTION("""COMPUTED_VALUE"""),152)</f>
        <v>152</v>
      </c>
      <c r="B167" s="2" t="str">
        <f ca="1">IFERROR(__xludf.DUMMYFUNCTION("""COMPUTED_VALUE"""),"Toomas")</f>
        <v>Toomas</v>
      </c>
      <c r="C167" s="2" t="str">
        <f ca="1">IFERROR(__xludf.DUMMYFUNCTION("""COMPUTED_VALUE"""),"Värva")</f>
        <v>Värva</v>
      </c>
      <c r="D167" s="2">
        <f ca="1">IFERROR(__xludf.DUMMYFUNCTION("""COMPUTED_VALUE"""),0)</f>
        <v>0</v>
      </c>
      <c r="E167" s="2">
        <f ca="1">IFERROR(__xludf.DUMMYFUNCTION("""COMPUTED_VALUE"""),0)</f>
        <v>0</v>
      </c>
      <c r="F167" s="2">
        <f ca="1">IFERROR(__xludf.DUMMYFUNCTION("""COMPUTED_VALUE"""),225)</f>
        <v>225</v>
      </c>
      <c r="G167" s="2">
        <f ca="1">IFERROR(__xludf.DUMMYFUNCTION("""COMPUTED_VALUE"""),225)</f>
        <v>225</v>
      </c>
      <c r="H167" s="2">
        <f ca="1">IFERROR(__xludf.DUMMYFUNCTION("""COMPUTED_VALUE"""),163)</f>
        <v>163</v>
      </c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">
      <c r="A168" s="2">
        <f ca="1">IFERROR(__xludf.DUMMYFUNCTION("""COMPUTED_VALUE"""),191)</f>
        <v>191</v>
      </c>
      <c r="B168" s="2" t="str">
        <f ca="1">IFERROR(__xludf.DUMMYFUNCTION("""COMPUTED_VALUE"""),"Marchus Joonas")</f>
        <v>Marchus Joonas</v>
      </c>
      <c r="C168" s="2" t="str">
        <f ca="1">IFERROR(__xludf.DUMMYFUNCTION("""COMPUTED_VALUE"""),"Koppel")</f>
        <v>Koppel</v>
      </c>
      <c r="D168" s="2">
        <f ca="1">IFERROR(__xludf.DUMMYFUNCTION("""COMPUTED_VALUE"""),0)</f>
        <v>0</v>
      </c>
      <c r="E168" s="2">
        <f ca="1">IFERROR(__xludf.DUMMYFUNCTION("""COMPUTED_VALUE"""),224)</f>
        <v>224</v>
      </c>
      <c r="F168" s="2" t="str">
        <f ca="1">IFERROR(__xludf.DUMMYFUNCTION("""COMPUTED_VALUE"""),"")</f>
        <v/>
      </c>
      <c r="G168" s="2">
        <f ca="1">IFERROR(__xludf.DUMMYFUNCTION("""COMPUTED_VALUE"""),224)</f>
        <v>224</v>
      </c>
      <c r="H168" s="2">
        <f ca="1">IFERROR(__xludf.DUMMYFUNCTION("""COMPUTED_VALUE"""),164)</f>
        <v>164</v>
      </c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">
      <c r="A169" s="2">
        <f ca="1">IFERROR(__xludf.DUMMYFUNCTION("""COMPUTED_VALUE"""),115)</f>
        <v>115</v>
      </c>
      <c r="B169" s="2" t="str">
        <f ca="1">IFERROR(__xludf.DUMMYFUNCTION("""COMPUTED_VALUE"""),"Pille")</f>
        <v>Pille</v>
      </c>
      <c r="C169" s="2" t="str">
        <f ca="1">IFERROR(__xludf.DUMMYFUNCTION("""COMPUTED_VALUE"""),"Kullamäe")</f>
        <v>Kullamäe</v>
      </c>
      <c r="D169" s="2">
        <f ca="1">IFERROR(__xludf.DUMMYFUNCTION("""COMPUTED_VALUE"""),0)</f>
        <v>0</v>
      </c>
      <c r="E169" s="2">
        <f ca="1">IFERROR(__xludf.DUMMYFUNCTION("""COMPUTED_VALUE"""),164)</f>
        <v>164</v>
      </c>
      <c r="F169" s="2">
        <f ca="1">IFERROR(__xludf.DUMMYFUNCTION("""COMPUTED_VALUE"""),58)</f>
        <v>58</v>
      </c>
      <c r="G169" s="2">
        <f ca="1">IFERROR(__xludf.DUMMYFUNCTION("""COMPUTED_VALUE"""),222)</f>
        <v>222</v>
      </c>
      <c r="H169" s="2">
        <f ca="1">IFERROR(__xludf.DUMMYFUNCTION("""COMPUTED_VALUE"""),165)</f>
        <v>165</v>
      </c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">
      <c r="A170" s="2">
        <f ca="1">IFERROR(__xludf.DUMMYFUNCTION("""COMPUTED_VALUE"""),184)</f>
        <v>184</v>
      </c>
      <c r="B170" s="2" t="str">
        <f ca="1">IFERROR(__xludf.DUMMYFUNCTION("""COMPUTED_VALUE"""),"Karoline")</f>
        <v>Karoline</v>
      </c>
      <c r="C170" s="2" t="str">
        <f ca="1">IFERROR(__xludf.DUMMYFUNCTION("""COMPUTED_VALUE"""),"Malk")</f>
        <v>Malk</v>
      </c>
      <c r="D170" s="2">
        <f ca="1">IFERROR(__xludf.DUMMYFUNCTION("""COMPUTED_VALUE"""),220)</f>
        <v>220</v>
      </c>
      <c r="E170" s="2">
        <f ca="1">IFERROR(__xludf.DUMMYFUNCTION("""COMPUTED_VALUE"""),0)</f>
        <v>0</v>
      </c>
      <c r="F170" s="2" t="str">
        <f ca="1">IFERROR(__xludf.DUMMYFUNCTION("""COMPUTED_VALUE"""),"")</f>
        <v/>
      </c>
      <c r="G170" s="2">
        <f ca="1">IFERROR(__xludf.DUMMYFUNCTION("""COMPUTED_VALUE"""),220)</f>
        <v>220</v>
      </c>
      <c r="H170" s="2">
        <f ca="1">IFERROR(__xludf.DUMMYFUNCTION("""COMPUTED_VALUE"""),166)</f>
        <v>166</v>
      </c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">
      <c r="A171" s="2">
        <f ca="1">IFERROR(__xludf.DUMMYFUNCTION("""COMPUTED_VALUE"""),76)</f>
        <v>76</v>
      </c>
      <c r="B171" s="2" t="str">
        <f ca="1">IFERROR(__xludf.DUMMYFUNCTION("""COMPUTED_VALUE"""),"Liina")</f>
        <v>Liina</v>
      </c>
      <c r="C171" s="2" t="str">
        <f ca="1">IFERROR(__xludf.DUMMYFUNCTION("""COMPUTED_VALUE"""),"Lepik")</f>
        <v>Lepik</v>
      </c>
      <c r="D171" s="2">
        <f ca="1">IFERROR(__xludf.DUMMYFUNCTION("""COMPUTED_VALUE"""),0)</f>
        <v>0</v>
      </c>
      <c r="E171" s="2">
        <f ca="1">IFERROR(__xludf.DUMMYFUNCTION("""COMPUTED_VALUE"""),218)</f>
        <v>218</v>
      </c>
      <c r="F171" s="2">
        <f ca="1">IFERROR(__xludf.DUMMYFUNCTION("""COMPUTED_VALUE"""),0)</f>
        <v>0</v>
      </c>
      <c r="G171" s="2">
        <f ca="1">IFERROR(__xludf.DUMMYFUNCTION("""COMPUTED_VALUE"""),218)</f>
        <v>218</v>
      </c>
      <c r="H171" s="2">
        <f ca="1">IFERROR(__xludf.DUMMYFUNCTION("""COMPUTED_VALUE"""),167)</f>
        <v>167</v>
      </c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">
      <c r="A172" s="2">
        <f ca="1">IFERROR(__xludf.DUMMYFUNCTION("""COMPUTED_VALUE"""),145)</f>
        <v>145</v>
      </c>
      <c r="B172" s="2" t="str">
        <f ca="1">IFERROR(__xludf.DUMMYFUNCTION("""COMPUTED_VALUE"""),"Jekaterina")</f>
        <v>Jekaterina</v>
      </c>
      <c r="C172" s="2" t="str">
        <f ca="1">IFERROR(__xludf.DUMMYFUNCTION("""COMPUTED_VALUE"""),"Tihhomirova")</f>
        <v>Tihhomirova</v>
      </c>
      <c r="D172" s="2">
        <f ca="1">IFERROR(__xludf.DUMMYFUNCTION("""COMPUTED_VALUE"""),0)</f>
        <v>0</v>
      </c>
      <c r="E172" s="2">
        <f ca="1">IFERROR(__xludf.DUMMYFUNCTION("""COMPUTED_VALUE"""),0)</f>
        <v>0</v>
      </c>
      <c r="F172" s="2">
        <f ca="1">IFERROR(__xludf.DUMMYFUNCTION("""COMPUTED_VALUE"""),218)</f>
        <v>218</v>
      </c>
      <c r="G172" s="2">
        <f ca="1">IFERROR(__xludf.DUMMYFUNCTION("""COMPUTED_VALUE"""),218)</f>
        <v>218</v>
      </c>
      <c r="H172" s="2">
        <f ca="1">IFERROR(__xludf.DUMMYFUNCTION("""COMPUTED_VALUE"""),167)</f>
        <v>167</v>
      </c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">
      <c r="A173" s="2">
        <f ca="1">IFERROR(__xludf.DUMMYFUNCTION("""COMPUTED_VALUE"""),146)</f>
        <v>146</v>
      </c>
      <c r="B173" s="2" t="str">
        <f ca="1">IFERROR(__xludf.DUMMYFUNCTION("""COMPUTED_VALUE"""),"Katrin")</f>
        <v>Katrin</v>
      </c>
      <c r="C173" s="2" t="str">
        <f ca="1">IFERROR(__xludf.DUMMYFUNCTION("""COMPUTED_VALUE"""),"Smirnova")</f>
        <v>Smirnova</v>
      </c>
      <c r="D173" s="2">
        <f ca="1">IFERROR(__xludf.DUMMYFUNCTION("""COMPUTED_VALUE"""),0)</f>
        <v>0</v>
      </c>
      <c r="E173" s="2">
        <f ca="1">IFERROR(__xludf.DUMMYFUNCTION("""COMPUTED_VALUE"""),0)</f>
        <v>0</v>
      </c>
      <c r="F173" s="2">
        <f ca="1">IFERROR(__xludf.DUMMYFUNCTION("""COMPUTED_VALUE"""),217)</f>
        <v>217</v>
      </c>
      <c r="G173" s="2">
        <f ca="1">IFERROR(__xludf.DUMMYFUNCTION("""COMPUTED_VALUE"""),217)</f>
        <v>217</v>
      </c>
      <c r="H173" s="2">
        <f ca="1">IFERROR(__xludf.DUMMYFUNCTION("""COMPUTED_VALUE"""),169)</f>
        <v>169</v>
      </c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">
      <c r="A174" s="2">
        <f ca="1">IFERROR(__xludf.DUMMYFUNCTION("""COMPUTED_VALUE"""),75)</f>
        <v>75</v>
      </c>
      <c r="B174" s="2" t="str">
        <f ca="1">IFERROR(__xludf.DUMMYFUNCTION("""COMPUTED_VALUE"""),"Tiit")</f>
        <v>Tiit</v>
      </c>
      <c r="C174" s="2" t="str">
        <f ca="1">IFERROR(__xludf.DUMMYFUNCTION("""COMPUTED_VALUE"""),"Kaasik")</f>
        <v>Kaasik</v>
      </c>
      <c r="D174" s="2">
        <f ca="1">IFERROR(__xludf.DUMMYFUNCTION("""COMPUTED_VALUE"""),0)</f>
        <v>0</v>
      </c>
      <c r="E174" s="2">
        <f ca="1">IFERROR(__xludf.DUMMYFUNCTION("""COMPUTED_VALUE"""),216)</f>
        <v>216</v>
      </c>
      <c r="F174" s="2">
        <f ca="1">IFERROR(__xludf.DUMMYFUNCTION("""COMPUTED_VALUE"""),0)</f>
        <v>0</v>
      </c>
      <c r="G174" s="2">
        <f ca="1">IFERROR(__xludf.DUMMYFUNCTION("""COMPUTED_VALUE"""),216)</f>
        <v>216</v>
      </c>
      <c r="H174" s="2">
        <f ca="1">IFERROR(__xludf.DUMMYFUNCTION("""COMPUTED_VALUE"""),170)</f>
        <v>170</v>
      </c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">
      <c r="A175" s="2">
        <f ca="1">IFERROR(__xludf.DUMMYFUNCTION("""COMPUTED_VALUE"""),31)</f>
        <v>31</v>
      </c>
      <c r="B175" s="2" t="str">
        <f ca="1">IFERROR(__xludf.DUMMYFUNCTION("""COMPUTED_VALUE"""),"Merri E.")</f>
        <v>Merri E.</v>
      </c>
      <c r="C175" s="2" t="str">
        <f ca="1">IFERROR(__xludf.DUMMYFUNCTION("""COMPUTED_VALUE"""),"Laidma")</f>
        <v>Laidma</v>
      </c>
      <c r="D175" s="2">
        <f ca="1">IFERROR(__xludf.DUMMYFUNCTION("""COMPUTED_VALUE"""),0)</f>
        <v>0</v>
      </c>
      <c r="E175" s="2">
        <f ca="1">IFERROR(__xludf.DUMMYFUNCTION("""COMPUTED_VALUE"""),213)</f>
        <v>213</v>
      </c>
      <c r="F175" s="2">
        <f ca="1">IFERROR(__xludf.DUMMYFUNCTION("""COMPUTED_VALUE"""),0)</f>
        <v>0</v>
      </c>
      <c r="G175" s="2">
        <f ca="1">IFERROR(__xludf.DUMMYFUNCTION("""COMPUTED_VALUE"""),213)</f>
        <v>213</v>
      </c>
      <c r="H175" s="2">
        <f ca="1">IFERROR(__xludf.DUMMYFUNCTION("""COMPUTED_VALUE"""),171)</f>
        <v>171</v>
      </c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">
      <c r="A176" s="2">
        <f ca="1">IFERROR(__xludf.DUMMYFUNCTION("""COMPUTED_VALUE"""),49)</f>
        <v>49</v>
      </c>
      <c r="B176" s="2" t="str">
        <f ca="1">IFERROR(__xludf.DUMMYFUNCTION("""COMPUTED_VALUE"""),"Erik")</f>
        <v>Erik</v>
      </c>
      <c r="C176" s="2" t="str">
        <f ca="1">IFERROR(__xludf.DUMMYFUNCTION("""COMPUTED_VALUE"""),"Suit")</f>
        <v>Suit</v>
      </c>
      <c r="D176" s="2">
        <f ca="1">IFERROR(__xludf.DUMMYFUNCTION("""COMPUTED_VALUE"""),0)</f>
        <v>0</v>
      </c>
      <c r="E176" s="2">
        <f ca="1">IFERROR(__xludf.DUMMYFUNCTION("""COMPUTED_VALUE"""),213)</f>
        <v>213</v>
      </c>
      <c r="F176" s="2">
        <f ca="1">IFERROR(__xludf.DUMMYFUNCTION("""COMPUTED_VALUE"""),0)</f>
        <v>0</v>
      </c>
      <c r="G176" s="2">
        <f ca="1">IFERROR(__xludf.DUMMYFUNCTION("""COMPUTED_VALUE"""),213)</f>
        <v>213</v>
      </c>
      <c r="H176" s="2">
        <f ca="1">IFERROR(__xludf.DUMMYFUNCTION("""COMPUTED_VALUE"""),171)</f>
        <v>171</v>
      </c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">
      <c r="A177" s="2">
        <f ca="1">IFERROR(__xludf.DUMMYFUNCTION("""COMPUTED_VALUE"""),40)</f>
        <v>40</v>
      </c>
      <c r="B177" s="2" t="str">
        <f ca="1">IFERROR(__xludf.DUMMYFUNCTION("""COMPUTED_VALUE"""),"Leili")</f>
        <v>Leili</v>
      </c>
      <c r="C177" s="2" t="str">
        <f ca="1">IFERROR(__xludf.DUMMYFUNCTION("""COMPUTED_VALUE"""),"Seisonen")</f>
        <v>Seisonen</v>
      </c>
      <c r="D177" s="2">
        <f ca="1">IFERROR(__xludf.DUMMYFUNCTION("""COMPUTED_VALUE"""),0)</f>
        <v>0</v>
      </c>
      <c r="E177" s="2">
        <f ca="1">IFERROR(__xludf.DUMMYFUNCTION("""COMPUTED_VALUE"""),211)</f>
        <v>211</v>
      </c>
      <c r="F177" s="2">
        <f ca="1">IFERROR(__xludf.DUMMYFUNCTION("""COMPUTED_VALUE"""),0)</f>
        <v>0</v>
      </c>
      <c r="G177" s="2">
        <f ca="1">IFERROR(__xludf.DUMMYFUNCTION("""COMPUTED_VALUE"""),211)</f>
        <v>211</v>
      </c>
      <c r="H177" s="2">
        <f ca="1">IFERROR(__xludf.DUMMYFUNCTION("""COMPUTED_VALUE"""),173)</f>
        <v>173</v>
      </c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">
      <c r="A178" s="2">
        <f ca="1">IFERROR(__xludf.DUMMYFUNCTION("""COMPUTED_VALUE"""),180)</f>
        <v>180</v>
      </c>
      <c r="B178" s="2" t="str">
        <f ca="1">IFERROR(__xludf.DUMMYFUNCTION("""COMPUTED_VALUE"""),"Meeme")</f>
        <v>Meeme</v>
      </c>
      <c r="C178" s="2" t="str">
        <f ca="1">IFERROR(__xludf.DUMMYFUNCTION("""COMPUTED_VALUE"""),"Riismaa")</f>
        <v>Riismaa</v>
      </c>
      <c r="D178" s="2">
        <f ca="1">IFERROR(__xludf.DUMMYFUNCTION("""COMPUTED_VALUE"""),211)</f>
        <v>211</v>
      </c>
      <c r="E178" s="2">
        <f ca="1">IFERROR(__xludf.DUMMYFUNCTION("""COMPUTED_VALUE"""),0)</f>
        <v>0</v>
      </c>
      <c r="F178" s="2">
        <f ca="1">IFERROR(__xludf.DUMMYFUNCTION("""COMPUTED_VALUE"""),0)</f>
        <v>0</v>
      </c>
      <c r="G178" s="2">
        <f ca="1">IFERROR(__xludf.DUMMYFUNCTION("""COMPUTED_VALUE"""),211)</f>
        <v>211</v>
      </c>
      <c r="H178" s="2">
        <f ca="1">IFERROR(__xludf.DUMMYFUNCTION("""COMPUTED_VALUE"""),173)</f>
        <v>173</v>
      </c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">
      <c r="A179" s="2">
        <f ca="1">IFERROR(__xludf.DUMMYFUNCTION("""COMPUTED_VALUE"""),202)</f>
        <v>202</v>
      </c>
      <c r="B179" s="2" t="str">
        <f ca="1">IFERROR(__xludf.DUMMYFUNCTION("""COMPUTED_VALUE"""),"Margit")</f>
        <v>Margit</v>
      </c>
      <c r="C179" s="2" t="str">
        <f ca="1">IFERROR(__xludf.DUMMYFUNCTION("""COMPUTED_VALUE"""),"Kaur")</f>
        <v>Kaur</v>
      </c>
      <c r="D179" s="2">
        <f ca="1">IFERROR(__xludf.DUMMYFUNCTION("""COMPUTED_VALUE"""),209)</f>
        <v>209</v>
      </c>
      <c r="E179" s="2">
        <f ca="1">IFERROR(__xludf.DUMMYFUNCTION("""COMPUTED_VALUE"""),0)</f>
        <v>0</v>
      </c>
      <c r="F179" s="2" t="str">
        <f ca="1">IFERROR(__xludf.DUMMYFUNCTION("""COMPUTED_VALUE"""),"")</f>
        <v/>
      </c>
      <c r="G179" s="2">
        <f ca="1">IFERROR(__xludf.DUMMYFUNCTION("""COMPUTED_VALUE"""),209)</f>
        <v>209</v>
      </c>
      <c r="H179" s="2">
        <f ca="1">IFERROR(__xludf.DUMMYFUNCTION("""COMPUTED_VALUE"""),175)</f>
        <v>175</v>
      </c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">
      <c r="A180" s="2">
        <f ca="1">IFERROR(__xludf.DUMMYFUNCTION("""COMPUTED_VALUE"""),151)</f>
        <v>151</v>
      </c>
      <c r="B180" s="2" t="str">
        <f ca="1">IFERROR(__xludf.DUMMYFUNCTION("""COMPUTED_VALUE"""),"Kristiina")</f>
        <v>Kristiina</v>
      </c>
      <c r="C180" s="2" t="str">
        <f ca="1">IFERROR(__xludf.DUMMYFUNCTION("""COMPUTED_VALUE"""),"Kivari")</f>
        <v>Kivari</v>
      </c>
      <c r="D180" s="2">
        <f ca="1">IFERROR(__xludf.DUMMYFUNCTION("""COMPUTED_VALUE"""),0)</f>
        <v>0</v>
      </c>
      <c r="E180" s="2">
        <f ca="1">IFERROR(__xludf.DUMMYFUNCTION("""COMPUTED_VALUE"""),0)</f>
        <v>0</v>
      </c>
      <c r="F180" s="2">
        <f ca="1">IFERROR(__xludf.DUMMYFUNCTION("""COMPUTED_VALUE"""),207)</f>
        <v>207</v>
      </c>
      <c r="G180" s="2">
        <f ca="1">IFERROR(__xludf.DUMMYFUNCTION("""COMPUTED_VALUE"""),207)</f>
        <v>207</v>
      </c>
      <c r="H180" s="2">
        <f ca="1">IFERROR(__xludf.DUMMYFUNCTION("""COMPUTED_VALUE"""),176)</f>
        <v>176</v>
      </c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">
      <c r="A181" s="2">
        <f ca="1">IFERROR(__xludf.DUMMYFUNCTION("""COMPUTED_VALUE"""),48)</f>
        <v>48</v>
      </c>
      <c r="B181" s="2" t="str">
        <f ca="1">IFERROR(__xludf.DUMMYFUNCTION("""COMPUTED_VALUE"""),"Mari")</f>
        <v>Mari</v>
      </c>
      <c r="C181" s="2" t="str">
        <f ca="1">IFERROR(__xludf.DUMMYFUNCTION("""COMPUTED_VALUE"""),"Hairk")</f>
        <v>Hairk</v>
      </c>
      <c r="D181" s="2">
        <f ca="1">IFERROR(__xludf.DUMMYFUNCTION("""COMPUTED_VALUE"""),0)</f>
        <v>0</v>
      </c>
      <c r="E181" s="2">
        <f ca="1">IFERROR(__xludf.DUMMYFUNCTION("""COMPUTED_VALUE"""),206)</f>
        <v>206</v>
      </c>
      <c r="F181" s="2">
        <f ca="1">IFERROR(__xludf.DUMMYFUNCTION("""COMPUTED_VALUE"""),0)</f>
        <v>0</v>
      </c>
      <c r="G181" s="2">
        <f ca="1">IFERROR(__xludf.DUMMYFUNCTION("""COMPUTED_VALUE"""),206)</f>
        <v>206</v>
      </c>
      <c r="H181" s="2">
        <f ca="1">IFERROR(__xludf.DUMMYFUNCTION("""COMPUTED_VALUE"""),177)</f>
        <v>177</v>
      </c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">
      <c r="A182" s="2">
        <f ca="1">IFERROR(__xludf.DUMMYFUNCTION("""COMPUTED_VALUE"""),132)</f>
        <v>132</v>
      </c>
      <c r="B182" s="2" t="str">
        <f ca="1">IFERROR(__xludf.DUMMYFUNCTION("""COMPUTED_VALUE"""),"Peeter")</f>
        <v>Peeter</v>
      </c>
      <c r="C182" s="2" t="str">
        <f ca="1">IFERROR(__xludf.DUMMYFUNCTION("""COMPUTED_VALUE"""),"Pops")</f>
        <v>Pops</v>
      </c>
      <c r="D182" s="2">
        <f ca="1">IFERROR(__xludf.DUMMYFUNCTION("""COMPUTED_VALUE"""),0)</f>
        <v>0</v>
      </c>
      <c r="E182" s="2">
        <f ca="1">IFERROR(__xludf.DUMMYFUNCTION("""COMPUTED_VALUE"""),0)</f>
        <v>0</v>
      </c>
      <c r="F182" s="2">
        <f ca="1">IFERROR(__xludf.DUMMYFUNCTION("""COMPUTED_VALUE"""),202)</f>
        <v>202</v>
      </c>
      <c r="G182" s="2">
        <f ca="1">IFERROR(__xludf.DUMMYFUNCTION("""COMPUTED_VALUE"""),202)</f>
        <v>202</v>
      </c>
      <c r="H182" s="2">
        <f ca="1">IFERROR(__xludf.DUMMYFUNCTION("""COMPUTED_VALUE"""),178)</f>
        <v>178</v>
      </c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">
      <c r="A183" s="2">
        <f ca="1">IFERROR(__xludf.DUMMYFUNCTION("""COMPUTED_VALUE"""),113)</f>
        <v>113</v>
      </c>
      <c r="B183" s="2" t="str">
        <f ca="1">IFERROR(__xludf.DUMMYFUNCTION("""COMPUTED_VALUE"""),"Ülari")</f>
        <v>Ülari</v>
      </c>
      <c r="C183" s="2" t="str">
        <f ca="1">IFERROR(__xludf.DUMMYFUNCTION("""COMPUTED_VALUE"""),"Rooni")</f>
        <v>Rooni</v>
      </c>
      <c r="D183" s="2">
        <f ca="1">IFERROR(__xludf.DUMMYFUNCTION("""COMPUTED_VALUE"""),0)</f>
        <v>0</v>
      </c>
      <c r="E183" s="2">
        <f ca="1">IFERROR(__xludf.DUMMYFUNCTION("""COMPUTED_VALUE"""),195)</f>
        <v>195</v>
      </c>
      <c r="F183" s="2">
        <f ca="1">IFERROR(__xludf.DUMMYFUNCTION("""COMPUTED_VALUE"""),0)</f>
        <v>0</v>
      </c>
      <c r="G183" s="2">
        <f ca="1">IFERROR(__xludf.DUMMYFUNCTION("""COMPUTED_VALUE"""),195)</f>
        <v>195</v>
      </c>
      <c r="H183" s="2">
        <f ca="1">IFERROR(__xludf.DUMMYFUNCTION("""COMPUTED_VALUE"""),179)</f>
        <v>179</v>
      </c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">
      <c r="A184" s="2">
        <f ca="1">IFERROR(__xludf.DUMMYFUNCTION("""COMPUTED_VALUE"""),195)</f>
        <v>195</v>
      </c>
      <c r="B184" s="2" t="str">
        <f ca="1">IFERROR(__xludf.DUMMYFUNCTION("""COMPUTED_VALUE"""),"Jaak")</f>
        <v>Jaak</v>
      </c>
      <c r="C184" s="2" t="str">
        <f ca="1">IFERROR(__xludf.DUMMYFUNCTION("""COMPUTED_VALUE"""),"Aibast")</f>
        <v>Aibast</v>
      </c>
      <c r="D184" s="2">
        <f ca="1">IFERROR(__xludf.DUMMYFUNCTION("""COMPUTED_VALUE"""),0)</f>
        <v>0</v>
      </c>
      <c r="E184" s="2">
        <f ca="1">IFERROR(__xludf.DUMMYFUNCTION("""COMPUTED_VALUE"""),192)</f>
        <v>192</v>
      </c>
      <c r="F184" s="2" t="str">
        <f ca="1">IFERROR(__xludf.DUMMYFUNCTION("""COMPUTED_VALUE"""),"")</f>
        <v/>
      </c>
      <c r="G184" s="2">
        <f ca="1">IFERROR(__xludf.DUMMYFUNCTION("""COMPUTED_VALUE"""),192)</f>
        <v>192</v>
      </c>
      <c r="H184" s="2">
        <f ca="1">IFERROR(__xludf.DUMMYFUNCTION("""COMPUTED_VALUE"""),180)</f>
        <v>180</v>
      </c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">
      <c r="A185" s="2">
        <f ca="1">IFERROR(__xludf.DUMMYFUNCTION("""COMPUTED_VALUE"""),134)</f>
        <v>134</v>
      </c>
      <c r="B185" s="2" t="str">
        <f ca="1">IFERROR(__xludf.DUMMYFUNCTION("""COMPUTED_VALUE"""),"Ando")</f>
        <v>Ando</v>
      </c>
      <c r="C185" s="2" t="str">
        <f ca="1">IFERROR(__xludf.DUMMYFUNCTION("""COMPUTED_VALUE"""),"Larionov")</f>
        <v>Larionov</v>
      </c>
      <c r="D185" s="2">
        <f ca="1">IFERROR(__xludf.DUMMYFUNCTION("""COMPUTED_VALUE"""),0)</f>
        <v>0</v>
      </c>
      <c r="E185" s="2">
        <f ca="1">IFERROR(__xludf.DUMMYFUNCTION("""COMPUTED_VALUE"""),0)</f>
        <v>0</v>
      </c>
      <c r="F185" s="2">
        <f ca="1">IFERROR(__xludf.DUMMYFUNCTION("""COMPUTED_VALUE"""),191)</f>
        <v>191</v>
      </c>
      <c r="G185" s="2">
        <f ca="1">IFERROR(__xludf.DUMMYFUNCTION("""COMPUTED_VALUE"""),191)</f>
        <v>191</v>
      </c>
      <c r="H185" s="2">
        <f ca="1">IFERROR(__xludf.DUMMYFUNCTION("""COMPUTED_VALUE"""),181)</f>
        <v>181</v>
      </c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">
      <c r="A186" s="2">
        <f ca="1">IFERROR(__xludf.DUMMYFUNCTION("""COMPUTED_VALUE"""),183)</f>
        <v>183</v>
      </c>
      <c r="B186" s="2" t="str">
        <f ca="1">IFERROR(__xludf.DUMMYFUNCTION("""COMPUTED_VALUE"""),"Erki")</f>
        <v>Erki</v>
      </c>
      <c r="C186" s="2" t="str">
        <f ca="1">IFERROR(__xludf.DUMMYFUNCTION("""COMPUTED_VALUE"""),"Jaaska")</f>
        <v>Jaaska</v>
      </c>
      <c r="D186" s="2">
        <f ca="1">IFERROR(__xludf.DUMMYFUNCTION("""COMPUTED_VALUE"""),184)</f>
        <v>184</v>
      </c>
      <c r="E186" s="2">
        <f ca="1">IFERROR(__xludf.DUMMYFUNCTION("""COMPUTED_VALUE"""),0)</f>
        <v>0</v>
      </c>
      <c r="F186" s="2">
        <f ca="1">IFERROR(__xludf.DUMMYFUNCTION("""COMPUTED_VALUE"""),0)</f>
        <v>0</v>
      </c>
      <c r="G186" s="2">
        <f ca="1">IFERROR(__xludf.DUMMYFUNCTION("""COMPUTED_VALUE"""),184)</f>
        <v>184</v>
      </c>
      <c r="H186" s="2">
        <f ca="1">IFERROR(__xludf.DUMMYFUNCTION("""COMPUTED_VALUE"""),182)</f>
        <v>182</v>
      </c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">
      <c r="A187" s="2">
        <f ca="1">IFERROR(__xludf.DUMMYFUNCTION("""COMPUTED_VALUE"""),43)</f>
        <v>43</v>
      </c>
      <c r="B187" s="2" t="str">
        <f ca="1">IFERROR(__xludf.DUMMYFUNCTION("""COMPUTED_VALUE"""),"Erik")</f>
        <v>Erik</v>
      </c>
      <c r="C187" s="2" t="str">
        <f ca="1">IFERROR(__xludf.DUMMYFUNCTION("""COMPUTED_VALUE"""),"Raat")</f>
        <v>Raat</v>
      </c>
      <c r="D187" s="2">
        <f ca="1">IFERROR(__xludf.DUMMYFUNCTION("""COMPUTED_VALUE"""),0)</f>
        <v>0</v>
      </c>
      <c r="E187" s="2">
        <f ca="1">IFERROR(__xludf.DUMMYFUNCTION("""COMPUTED_VALUE"""),183)</f>
        <v>183</v>
      </c>
      <c r="F187" s="2">
        <f ca="1">IFERROR(__xludf.DUMMYFUNCTION("""COMPUTED_VALUE"""),0)</f>
        <v>0</v>
      </c>
      <c r="G187" s="2">
        <f ca="1">IFERROR(__xludf.DUMMYFUNCTION("""COMPUTED_VALUE"""),183)</f>
        <v>183</v>
      </c>
      <c r="H187" s="2">
        <f ca="1">IFERROR(__xludf.DUMMYFUNCTION("""COMPUTED_VALUE"""),183)</f>
        <v>183</v>
      </c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">
      <c r="A188" s="2">
        <f ca="1">IFERROR(__xludf.DUMMYFUNCTION("""COMPUTED_VALUE"""),133)</f>
        <v>133</v>
      </c>
      <c r="B188" s="2" t="str">
        <f ca="1">IFERROR(__xludf.DUMMYFUNCTION("""COMPUTED_VALUE"""),"Elise")</f>
        <v>Elise</v>
      </c>
      <c r="C188" s="2" t="str">
        <f ca="1">IFERROR(__xludf.DUMMYFUNCTION("""COMPUTED_VALUE"""),"Saar")</f>
        <v>Saar</v>
      </c>
      <c r="D188" s="2">
        <f ca="1">IFERROR(__xludf.DUMMYFUNCTION("""COMPUTED_VALUE"""),0)</f>
        <v>0</v>
      </c>
      <c r="E188" s="2">
        <f ca="1">IFERROR(__xludf.DUMMYFUNCTION("""COMPUTED_VALUE"""),0)</f>
        <v>0</v>
      </c>
      <c r="F188" s="2">
        <f ca="1">IFERROR(__xludf.DUMMYFUNCTION("""COMPUTED_VALUE"""),183)</f>
        <v>183</v>
      </c>
      <c r="G188" s="2">
        <f ca="1">IFERROR(__xludf.DUMMYFUNCTION("""COMPUTED_VALUE"""),183)</f>
        <v>183</v>
      </c>
      <c r="H188" s="2">
        <f ca="1">IFERROR(__xludf.DUMMYFUNCTION("""COMPUTED_VALUE"""),183)</f>
        <v>183</v>
      </c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">
      <c r="A189" s="2">
        <f ca="1">IFERROR(__xludf.DUMMYFUNCTION("""COMPUTED_VALUE"""),182)</f>
        <v>182</v>
      </c>
      <c r="B189" s="2" t="str">
        <f ca="1">IFERROR(__xludf.DUMMYFUNCTION("""COMPUTED_VALUE"""),"Sander")</f>
        <v>Sander</v>
      </c>
      <c r="C189" s="2" t="str">
        <f ca="1">IFERROR(__xludf.DUMMYFUNCTION("""COMPUTED_VALUE"""),"Armus")</f>
        <v>Armus</v>
      </c>
      <c r="D189" s="2">
        <f ca="1">IFERROR(__xludf.DUMMYFUNCTION("""COMPUTED_VALUE"""),179)</f>
        <v>179</v>
      </c>
      <c r="E189" s="2">
        <f ca="1">IFERROR(__xludf.DUMMYFUNCTION("""COMPUTED_VALUE"""),0)</f>
        <v>0</v>
      </c>
      <c r="F189" s="2">
        <f ca="1">IFERROR(__xludf.DUMMYFUNCTION("""COMPUTED_VALUE"""),0)</f>
        <v>0</v>
      </c>
      <c r="G189" s="2">
        <f ca="1">IFERROR(__xludf.DUMMYFUNCTION("""COMPUTED_VALUE"""),179)</f>
        <v>179</v>
      </c>
      <c r="H189" s="2">
        <f ca="1">IFERROR(__xludf.DUMMYFUNCTION("""COMPUTED_VALUE"""),185)</f>
        <v>185</v>
      </c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">
      <c r="A190" s="2">
        <f ca="1">IFERROR(__xludf.DUMMYFUNCTION("""COMPUTED_VALUE"""),20)</f>
        <v>20</v>
      </c>
      <c r="B190" s="2" t="str">
        <f ca="1">IFERROR(__xludf.DUMMYFUNCTION("""COMPUTED_VALUE"""),"Aivar")</f>
        <v>Aivar</v>
      </c>
      <c r="C190" s="2" t="str">
        <f ca="1">IFERROR(__xludf.DUMMYFUNCTION("""COMPUTED_VALUE"""),"Narusk")</f>
        <v>Narusk</v>
      </c>
      <c r="D190" s="2">
        <f ca="1">IFERROR(__xludf.DUMMYFUNCTION("""COMPUTED_VALUE"""),0)</f>
        <v>0</v>
      </c>
      <c r="E190" s="2">
        <f ca="1">IFERROR(__xludf.DUMMYFUNCTION("""COMPUTED_VALUE"""),0)</f>
        <v>0</v>
      </c>
      <c r="F190" s="2">
        <f ca="1">IFERROR(__xludf.DUMMYFUNCTION("""COMPUTED_VALUE"""),176)</f>
        <v>176</v>
      </c>
      <c r="G190" s="2">
        <f ca="1">IFERROR(__xludf.DUMMYFUNCTION("""COMPUTED_VALUE"""),176)</f>
        <v>176</v>
      </c>
      <c r="H190" s="2">
        <f ca="1">IFERROR(__xludf.DUMMYFUNCTION("""COMPUTED_VALUE"""),186)</f>
        <v>186</v>
      </c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">
      <c r="A191" s="2">
        <f ca="1">IFERROR(__xludf.DUMMYFUNCTION("""COMPUTED_VALUE"""),170)</f>
        <v>170</v>
      </c>
      <c r="B191" s="2" t="str">
        <f ca="1">IFERROR(__xludf.DUMMYFUNCTION("""COMPUTED_VALUE"""),"Signe")</f>
        <v>Signe</v>
      </c>
      <c r="C191" s="2" t="str">
        <f ca="1">IFERROR(__xludf.DUMMYFUNCTION("""COMPUTED_VALUE"""),"Kold")</f>
        <v>Kold</v>
      </c>
      <c r="D191" s="2">
        <f ca="1">IFERROR(__xludf.DUMMYFUNCTION("""COMPUTED_VALUE"""),169)</f>
        <v>169</v>
      </c>
      <c r="E191" s="2">
        <f ca="1">IFERROR(__xludf.DUMMYFUNCTION("""COMPUTED_VALUE"""),0)</f>
        <v>0</v>
      </c>
      <c r="F191" s="2">
        <f ca="1">IFERROR(__xludf.DUMMYFUNCTION("""COMPUTED_VALUE"""),0)</f>
        <v>0</v>
      </c>
      <c r="G191" s="2">
        <f ca="1">IFERROR(__xludf.DUMMYFUNCTION("""COMPUTED_VALUE"""),169)</f>
        <v>169</v>
      </c>
      <c r="H191" s="2">
        <f ca="1">IFERROR(__xludf.DUMMYFUNCTION("""COMPUTED_VALUE"""),187)</f>
        <v>187</v>
      </c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">
      <c r="A192" s="2">
        <f ca="1">IFERROR(__xludf.DUMMYFUNCTION("""COMPUTED_VALUE"""),167)</f>
        <v>167</v>
      </c>
      <c r="B192" s="2" t="str">
        <f ca="1">IFERROR(__xludf.DUMMYFUNCTION("""COMPUTED_VALUE"""),"Meelis")</f>
        <v>Meelis</v>
      </c>
      <c r="C192" s="2" t="str">
        <f ca="1">IFERROR(__xludf.DUMMYFUNCTION("""COMPUTED_VALUE"""),"Pallo")</f>
        <v>Pallo</v>
      </c>
      <c r="D192" s="2">
        <f ca="1">IFERROR(__xludf.DUMMYFUNCTION("""COMPUTED_VALUE"""),160)</f>
        <v>160</v>
      </c>
      <c r="E192" s="2">
        <f ca="1">IFERROR(__xludf.DUMMYFUNCTION("""COMPUTED_VALUE"""),0)</f>
        <v>0</v>
      </c>
      <c r="F192" s="2">
        <f ca="1">IFERROR(__xludf.DUMMYFUNCTION("""COMPUTED_VALUE"""),0)</f>
        <v>0</v>
      </c>
      <c r="G192" s="2">
        <f ca="1">IFERROR(__xludf.DUMMYFUNCTION("""COMPUTED_VALUE"""),160)</f>
        <v>160</v>
      </c>
      <c r="H192" s="2">
        <f ca="1">IFERROR(__xludf.DUMMYFUNCTION("""COMPUTED_VALUE"""),188)</f>
        <v>188</v>
      </c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">
      <c r="A193" s="2">
        <f ca="1">IFERROR(__xludf.DUMMYFUNCTION("""COMPUTED_VALUE"""),16)</f>
        <v>16</v>
      </c>
      <c r="B193" s="2" t="str">
        <f ca="1">IFERROR(__xludf.DUMMYFUNCTION("""COMPUTED_VALUE"""),"Taavi")</f>
        <v>Taavi</v>
      </c>
      <c r="C193" s="2" t="str">
        <f ca="1">IFERROR(__xludf.DUMMYFUNCTION("""COMPUTED_VALUE"""),"Vaher - TOPELT")</f>
        <v>Vaher - TOPELT</v>
      </c>
      <c r="D193" s="2">
        <f ca="1">IFERROR(__xludf.DUMMYFUNCTION("""COMPUTED_VALUE"""),156)</f>
        <v>156</v>
      </c>
      <c r="E193" s="2">
        <f ca="1">IFERROR(__xludf.DUMMYFUNCTION("""COMPUTED_VALUE"""),0)</f>
        <v>0</v>
      </c>
      <c r="F193" s="2">
        <f ca="1">IFERROR(__xludf.DUMMYFUNCTION("""COMPUTED_VALUE"""),0)</f>
        <v>0</v>
      </c>
      <c r="G193" s="2">
        <f ca="1">IFERROR(__xludf.DUMMYFUNCTION("""COMPUTED_VALUE"""),156)</f>
        <v>156</v>
      </c>
      <c r="H193" s="2">
        <f ca="1">IFERROR(__xludf.DUMMYFUNCTION("""COMPUTED_VALUE"""),189)</f>
        <v>189</v>
      </c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">
      <c r="A194" s="2">
        <f ca="1">IFERROR(__xludf.DUMMYFUNCTION("""COMPUTED_VALUE"""),155)</f>
        <v>155</v>
      </c>
      <c r="B194" s="2" t="str">
        <f ca="1">IFERROR(__xludf.DUMMYFUNCTION("""COMPUTED_VALUE"""),"Taivo")</f>
        <v>Taivo</v>
      </c>
      <c r="C194" s="2" t="str">
        <f ca="1">IFERROR(__xludf.DUMMYFUNCTION("""COMPUTED_VALUE"""),"Spitsõn")</f>
        <v>Spitsõn</v>
      </c>
      <c r="D194" s="2">
        <f ca="1">IFERROR(__xludf.DUMMYFUNCTION("""COMPUTED_VALUE"""),0)</f>
        <v>0</v>
      </c>
      <c r="E194" s="2">
        <f ca="1">IFERROR(__xludf.DUMMYFUNCTION("""COMPUTED_VALUE"""),0)</f>
        <v>0</v>
      </c>
      <c r="F194" s="2">
        <f ca="1">IFERROR(__xludf.DUMMYFUNCTION("""COMPUTED_VALUE"""),155)</f>
        <v>155</v>
      </c>
      <c r="G194" s="2">
        <f ca="1">IFERROR(__xludf.DUMMYFUNCTION("""COMPUTED_VALUE"""),155)</f>
        <v>155</v>
      </c>
      <c r="H194" s="2">
        <f ca="1">IFERROR(__xludf.DUMMYFUNCTION("""COMPUTED_VALUE"""),190)</f>
        <v>190</v>
      </c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">
      <c r="A195" s="2">
        <f ca="1">IFERROR(__xludf.DUMMYFUNCTION("""COMPUTED_VALUE"""),200)</f>
        <v>200</v>
      </c>
      <c r="B195" s="2" t="str">
        <f ca="1">IFERROR(__xludf.DUMMYFUNCTION("""COMPUTED_VALUE"""),"Märt")</f>
        <v>Märt</v>
      </c>
      <c r="C195" s="2" t="str">
        <f ca="1">IFERROR(__xludf.DUMMYFUNCTION("""COMPUTED_VALUE"""),"Mikkov")</f>
        <v>Mikkov</v>
      </c>
      <c r="D195" s="2">
        <f ca="1">IFERROR(__xludf.DUMMYFUNCTION("""COMPUTED_VALUE"""),0)</f>
        <v>0</v>
      </c>
      <c r="E195" s="2">
        <f ca="1">IFERROR(__xludf.DUMMYFUNCTION("""COMPUTED_VALUE"""),142)</f>
        <v>142</v>
      </c>
      <c r="F195" s="2" t="str">
        <f ca="1">IFERROR(__xludf.DUMMYFUNCTION("""COMPUTED_VALUE"""),"")</f>
        <v/>
      </c>
      <c r="G195" s="2">
        <f ca="1">IFERROR(__xludf.DUMMYFUNCTION("""COMPUTED_VALUE"""),142)</f>
        <v>142</v>
      </c>
      <c r="H195" s="2">
        <f ca="1">IFERROR(__xludf.DUMMYFUNCTION("""COMPUTED_VALUE"""),191)</f>
        <v>191</v>
      </c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">
      <c r="A196" s="2">
        <f ca="1">IFERROR(__xludf.DUMMYFUNCTION("""COMPUTED_VALUE"""),205)</f>
        <v>205</v>
      </c>
      <c r="B196" s="2" t="str">
        <f ca="1">IFERROR(__xludf.DUMMYFUNCTION("""COMPUTED_VALUE"""),"Aili")</f>
        <v>Aili</v>
      </c>
      <c r="C196" s="2" t="str">
        <f ca="1">IFERROR(__xludf.DUMMYFUNCTION("""COMPUTED_VALUE"""),"Mägi")</f>
        <v>Mägi</v>
      </c>
      <c r="D196" s="2">
        <f ca="1">IFERROR(__xludf.DUMMYFUNCTION("""COMPUTED_VALUE"""),137)</f>
        <v>137</v>
      </c>
      <c r="E196" s="2"/>
      <c r="F196" s="2" t="str">
        <f ca="1">IFERROR(__xludf.DUMMYFUNCTION("""COMPUTED_VALUE"""),"")</f>
        <v/>
      </c>
      <c r="G196" s="2">
        <f ca="1">IFERROR(__xludf.DUMMYFUNCTION("""COMPUTED_VALUE"""),137)</f>
        <v>137</v>
      </c>
      <c r="H196" s="2">
        <f ca="1">IFERROR(__xludf.DUMMYFUNCTION("""COMPUTED_VALUE"""),192)</f>
        <v>192</v>
      </c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">
      <c r="A197" s="2">
        <f ca="1">IFERROR(__xludf.DUMMYFUNCTION("""COMPUTED_VALUE"""),139)</f>
        <v>139</v>
      </c>
      <c r="B197" s="2" t="str">
        <f ca="1">IFERROR(__xludf.DUMMYFUNCTION("""COMPUTED_VALUE"""),"Aivi")</f>
        <v>Aivi</v>
      </c>
      <c r="C197" s="2" t="str">
        <f ca="1">IFERROR(__xludf.DUMMYFUNCTION("""COMPUTED_VALUE"""),"Tarvis")</f>
        <v>Tarvis</v>
      </c>
      <c r="D197" s="2">
        <f ca="1">IFERROR(__xludf.DUMMYFUNCTION("""COMPUTED_VALUE"""),0)</f>
        <v>0</v>
      </c>
      <c r="E197" s="2">
        <f ca="1">IFERROR(__xludf.DUMMYFUNCTION("""COMPUTED_VALUE"""),0)</f>
        <v>0</v>
      </c>
      <c r="F197" s="2">
        <f ca="1">IFERROR(__xludf.DUMMYFUNCTION("""COMPUTED_VALUE"""),128)</f>
        <v>128</v>
      </c>
      <c r="G197" s="2">
        <f ca="1">IFERROR(__xludf.DUMMYFUNCTION("""COMPUTED_VALUE"""),128)</f>
        <v>128</v>
      </c>
      <c r="H197" s="2">
        <f ca="1">IFERROR(__xludf.DUMMYFUNCTION("""COMPUTED_VALUE"""),193)</f>
        <v>193</v>
      </c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">
      <c r="A198" s="2">
        <f ca="1">IFERROR(__xludf.DUMMYFUNCTION("""COMPUTED_VALUE"""),156)</f>
        <v>156</v>
      </c>
      <c r="B198" s="2" t="str">
        <f ca="1">IFERROR(__xludf.DUMMYFUNCTION("""COMPUTED_VALUE"""),"Svetlana")</f>
        <v>Svetlana</v>
      </c>
      <c r="C198" s="2" t="str">
        <f ca="1">IFERROR(__xludf.DUMMYFUNCTION("""COMPUTED_VALUE"""),"Bogdanovits")</f>
        <v>Bogdanovits</v>
      </c>
      <c r="D198" s="2">
        <f ca="1">IFERROR(__xludf.DUMMYFUNCTION("""COMPUTED_VALUE"""),0)</f>
        <v>0</v>
      </c>
      <c r="E198" s="2">
        <f ca="1">IFERROR(__xludf.DUMMYFUNCTION("""COMPUTED_VALUE"""),0)</f>
        <v>0</v>
      </c>
      <c r="F198" s="2">
        <f ca="1">IFERROR(__xludf.DUMMYFUNCTION("""COMPUTED_VALUE"""),127)</f>
        <v>127</v>
      </c>
      <c r="G198" s="2">
        <f ca="1">IFERROR(__xludf.DUMMYFUNCTION("""COMPUTED_VALUE"""),127)</f>
        <v>127</v>
      </c>
      <c r="H198" s="2">
        <f ca="1">IFERROR(__xludf.DUMMYFUNCTION("""COMPUTED_VALUE"""),194)</f>
        <v>194</v>
      </c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">
      <c r="A199" s="2">
        <f ca="1">IFERROR(__xludf.DUMMYFUNCTION("""COMPUTED_VALUE"""),172)</f>
        <v>172</v>
      </c>
      <c r="B199" s="2" t="str">
        <f ca="1">IFERROR(__xludf.DUMMYFUNCTION("""COMPUTED_VALUE"""),"Innar")</f>
        <v>Innar</v>
      </c>
      <c r="C199" s="2" t="str">
        <f ca="1">IFERROR(__xludf.DUMMYFUNCTION("""COMPUTED_VALUE"""),"Joost")</f>
        <v>Joost</v>
      </c>
      <c r="D199" s="2">
        <f ca="1">IFERROR(__xludf.DUMMYFUNCTION("""COMPUTED_VALUE"""),10)</f>
        <v>10</v>
      </c>
      <c r="E199" s="2">
        <f ca="1">IFERROR(__xludf.DUMMYFUNCTION("""COMPUTED_VALUE"""),0)</f>
        <v>0</v>
      </c>
      <c r="F199" s="2">
        <f ca="1">IFERROR(__xludf.DUMMYFUNCTION("""COMPUTED_VALUE"""),0)</f>
        <v>0</v>
      </c>
      <c r="G199" s="2">
        <f ca="1">IFERROR(__xludf.DUMMYFUNCTION("""COMPUTED_VALUE"""),10)</f>
        <v>10</v>
      </c>
      <c r="H199" s="2">
        <f ca="1">IFERROR(__xludf.DUMMYFUNCTION("""COMPUTED_VALUE"""),195)</f>
        <v>195</v>
      </c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">
      <c r="A200" s="2">
        <f ca="1">IFERROR(__xludf.DUMMYFUNCTION("""COMPUTED_VALUE"""),22)</f>
        <v>22</v>
      </c>
      <c r="B200" s="2" t="str">
        <f ca="1">IFERROR(__xludf.DUMMYFUNCTION("""COMPUTED_VALUE"""),"Janno")</f>
        <v>Janno</v>
      </c>
      <c r="C200" s="2" t="str">
        <f ca="1">IFERROR(__xludf.DUMMYFUNCTION("""COMPUTED_VALUE"""),"Märk - TOPELT")</f>
        <v>Märk - TOPELT</v>
      </c>
      <c r="D200" s="2">
        <f ca="1">IFERROR(__xludf.DUMMYFUNCTION("""COMPUTED_VALUE"""),0)</f>
        <v>0</v>
      </c>
      <c r="E200" s="2">
        <f ca="1">IFERROR(__xludf.DUMMYFUNCTION("""COMPUTED_VALUE"""),0)</f>
        <v>0</v>
      </c>
      <c r="F200" s="2">
        <f ca="1">IFERROR(__xludf.DUMMYFUNCTION("""COMPUTED_VALUE"""),0)</f>
        <v>0</v>
      </c>
      <c r="G200" s="2">
        <f ca="1">IFERROR(__xludf.DUMMYFUNCTION("""COMPUTED_VALUE"""),0)</f>
        <v>0</v>
      </c>
      <c r="H200" s="2">
        <f ca="1">IFERROR(__xludf.DUMMYFUNCTION("""COMPUTED_VALUE"""),196)</f>
        <v>196</v>
      </c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">
      <c r="A201" s="2">
        <f ca="1">IFERROR(__xludf.DUMMYFUNCTION("""COMPUTED_VALUE"""),79)</f>
        <v>79</v>
      </c>
      <c r="B201" s="2" t="str">
        <f ca="1">IFERROR(__xludf.DUMMYFUNCTION("""COMPUTED_VALUE"""),"Janek")</f>
        <v>Janek</v>
      </c>
      <c r="C201" s="2" t="str">
        <f ca="1">IFERROR(__xludf.DUMMYFUNCTION("""COMPUTED_VALUE"""),"Ojasaar")</f>
        <v>Ojasaar</v>
      </c>
      <c r="D201" s="2">
        <f ca="1">IFERROR(__xludf.DUMMYFUNCTION("""COMPUTED_VALUE"""),0)</f>
        <v>0</v>
      </c>
      <c r="E201" s="2">
        <f ca="1">IFERROR(__xludf.DUMMYFUNCTION("""COMPUTED_VALUE"""),0)</f>
        <v>0</v>
      </c>
      <c r="F201" s="2">
        <f ca="1">IFERROR(__xludf.DUMMYFUNCTION("""COMPUTED_VALUE"""),0)</f>
        <v>0</v>
      </c>
      <c r="G201" s="2">
        <f ca="1">IFERROR(__xludf.DUMMYFUNCTION("""COMPUTED_VALUE"""),0)</f>
        <v>0</v>
      </c>
      <c r="H201" s="2">
        <f ca="1">IFERROR(__xludf.DUMMYFUNCTION("""COMPUTED_VALUE"""),196)</f>
        <v>196</v>
      </c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">
      <c r="A202" s="2">
        <f ca="1">IFERROR(__xludf.DUMMYFUNCTION("""COMPUTED_VALUE"""),143)</f>
        <v>143</v>
      </c>
      <c r="B202" s="2" t="str">
        <f ca="1">IFERROR(__xludf.DUMMYFUNCTION("""COMPUTED_VALUE"""),"Prohhor")</f>
        <v>Prohhor</v>
      </c>
      <c r="C202" s="2" t="str">
        <f ca="1">IFERROR(__xludf.DUMMYFUNCTION("""COMPUTED_VALUE"""),"Loomik")</f>
        <v>Loomik</v>
      </c>
      <c r="D202" s="2">
        <f ca="1">IFERROR(__xludf.DUMMYFUNCTION("""COMPUTED_VALUE"""),0)</f>
        <v>0</v>
      </c>
      <c r="E202" s="2">
        <f ca="1">IFERROR(__xludf.DUMMYFUNCTION("""COMPUTED_VALUE"""),0)</f>
        <v>0</v>
      </c>
      <c r="F202" s="2">
        <f ca="1">IFERROR(__xludf.DUMMYFUNCTION("""COMPUTED_VALUE"""),0)</f>
        <v>0</v>
      </c>
      <c r="G202" s="2">
        <f ca="1">IFERROR(__xludf.DUMMYFUNCTION("""COMPUTED_VALUE"""),0)</f>
        <v>0</v>
      </c>
      <c r="H202" s="2">
        <f ca="1">IFERROR(__xludf.DUMMYFUNCTION("""COMPUTED_VALUE"""),196)</f>
        <v>196</v>
      </c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">
      <c r="A203" s="2">
        <f ca="1">IFERROR(__xludf.DUMMYFUNCTION("""COMPUTED_VALUE"""),153)</f>
        <v>153</v>
      </c>
      <c r="B203" s="2" t="str">
        <f ca="1">IFERROR(__xludf.DUMMYFUNCTION("""COMPUTED_VALUE"""),"Harri")</f>
        <v>Harri</v>
      </c>
      <c r="C203" s="2" t="str">
        <f ca="1">IFERROR(__xludf.DUMMYFUNCTION("""COMPUTED_VALUE"""),"Mäesalu")</f>
        <v>Mäesalu</v>
      </c>
      <c r="D203" s="2">
        <f ca="1">IFERROR(__xludf.DUMMYFUNCTION("""COMPUTED_VALUE"""),0)</f>
        <v>0</v>
      </c>
      <c r="E203" s="2">
        <f ca="1">IFERROR(__xludf.DUMMYFUNCTION("""COMPUTED_VALUE"""),0)</f>
        <v>0</v>
      </c>
      <c r="F203" s="2">
        <f ca="1">IFERROR(__xludf.DUMMYFUNCTION("""COMPUTED_VALUE"""),0)</f>
        <v>0</v>
      </c>
      <c r="G203" s="2">
        <f ca="1">IFERROR(__xludf.DUMMYFUNCTION("""COMPUTED_VALUE"""),0)</f>
        <v>0</v>
      </c>
      <c r="H203" s="2">
        <f ca="1">IFERROR(__xludf.DUMMYFUNCTION("""COMPUTED_VALUE"""),196)</f>
        <v>196</v>
      </c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">
      <c r="A204" s="2">
        <f ca="1">IFERROR(__xludf.DUMMYFUNCTION("""COMPUTED_VALUE"""),161)</f>
        <v>161</v>
      </c>
      <c r="B204" s="2" t="str">
        <f ca="1">IFERROR(__xludf.DUMMYFUNCTION("""COMPUTED_VALUE"""),"Liia-Marie")</f>
        <v>Liia-Marie</v>
      </c>
      <c r="C204" s="2" t="str">
        <f ca="1">IFERROR(__xludf.DUMMYFUNCTION("""COMPUTED_VALUE"""),"Simmo")</f>
        <v>Simmo</v>
      </c>
      <c r="D204" s="2">
        <f ca="1">IFERROR(__xludf.DUMMYFUNCTION("""COMPUTED_VALUE"""),0)</f>
        <v>0</v>
      </c>
      <c r="E204" s="2">
        <f ca="1">IFERROR(__xludf.DUMMYFUNCTION("""COMPUTED_VALUE"""),0)</f>
        <v>0</v>
      </c>
      <c r="F204" s="2">
        <f ca="1">IFERROR(__xludf.DUMMYFUNCTION("""COMPUTED_VALUE"""),0)</f>
        <v>0</v>
      </c>
      <c r="G204" s="2">
        <f ca="1">IFERROR(__xludf.DUMMYFUNCTION("""COMPUTED_VALUE"""),0)</f>
        <v>0</v>
      </c>
      <c r="H204" s="2">
        <f ca="1">IFERROR(__xludf.DUMMYFUNCTION("""COMPUTED_VALUE"""),196)</f>
        <v>196</v>
      </c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">
      <c r="A205" s="2">
        <f ca="1">IFERROR(__xludf.DUMMYFUNCTION("""COMPUTED_VALUE"""),169)</f>
        <v>169</v>
      </c>
      <c r="B205" s="2" t="str">
        <f ca="1">IFERROR(__xludf.DUMMYFUNCTION("""COMPUTED_VALUE"""),"Meelis")</f>
        <v>Meelis</v>
      </c>
      <c r="C205" s="2" t="str">
        <f ca="1">IFERROR(__xludf.DUMMYFUNCTION("""COMPUTED_VALUE"""),"Eelmaa")</f>
        <v>Eelmaa</v>
      </c>
      <c r="D205" s="2">
        <f ca="1">IFERROR(__xludf.DUMMYFUNCTION("""COMPUTED_VALUE"""),0)</f>
        <v>0</v>
      </c>
      <c r="E205" s="2">
        <f ca="1">IFERROR(__xludf.DUMMYFUNCTION("""COMPUTED_VALUE"""),0)</f>
        <v>0</v>
      </c>
      <c r="F205" s="2">
        <f ca="1">IFERROR(__xludf.DUMMYFUNCTION("""COMPUTED_VALUE"""),0)</f>
        <v>0</v>
      </c>
      <c r="G205" s="2">
        <f ca="1">IFERROR(__xludf.DUMMYFUNCTION("""COMPUTED_VALUE"""),0)</f>
        <v>0</v>
      </c>
      <c r="H205" s="2">
        <f ca="1">IFERROR(__xludf.DUMMYFUNCTION("""COMPUTED_VALUE"""),196)</f>
        <v>196</v>
      </c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">
      <c r="A206" s="2">
        <f ca="1">IFERROR(__xludf.DUMMYFUNCTION("""COMPUTED_VALUE"""),186)</f>
        <v>186</v>
      </c>
      <c r="B206" s="2" t="str">
        <f ca="1">IFERROR(__xludf.DUMMYFUNCTION("""COMPUTED_VALUE"""),"Kai")</f>
        <v>Kai</v>
      </c>
      <c r="C206" s="2" t="str">
        <f ca="1">IFERROR(__xludf.DUMMYFUNCTION("""COMPUTED_VALUE"""),"Willadsen")</f>
        <v>Willadsen</v>
      </c>
      <c r="D206" s="2">
        <f ca="1">IFERROR(__xludf.DUMMYFUNCTION("""COMPUTED_VALUE"""),0)</f>
        <v>0</v>
      </c>
      <c r="E206" s="2">
        <f ca="1">IFERROR(__xludf.DUMMYFUNCTION("""COMPUTED_VALUE"""),0)</f>
        <v>0</v>
      </c>
      <c r="F206" s="2" t="str">
        <f ca="1">IFERROR(__xludf.DUMMYFUNCTION("""COMPUTED_VALUE"""),"")</f>
        <v/>
      </c>
      <c r="G206" s="2">
        <f ca="1">IFERROR(__xludf.DUMMYFUNCTION("""COMPUTED_VALUE"""),0)</f>
        <v>0</v>
      </c>
      <c r="H206" s="2">
        <f ca="1">IFERROR(__xludf.DUMMYFUNCTION("""COMPUTED_VALUE"""),196)</f>
        <v>196</v>
      </c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">
      <c r="A207" s="2">
        <f ca="1">IFERROR(__xludf.DUMMYFUNCTION("""COMPUTED_VALUE"""),189)</f>
        <v>189</v>
      </c>
      <c r="B207" s="2" t="str">
        <f ca="1">IFERROR(__xludf.DUMMYFUNCTION("""COMPUTED_VALUE"""),"Silver")</f>
        <v>Silver</v>
      </c>
      <c r="C207" s="2" t="str">
        <f ca="1">IFERROR(__xludf.DUMMYFUNCTION("""COMPUTED_VALUE"""),"Mäe")</f>
        <v>Mäe</v>
      </c>
      <c r="D207" s="2">
        <f ca="1">IFERROR(__xludf.DUMMYFUNCTION("""COMPUTED_VALUE"""),0)</f>
        <v>0</v>
      </c>
      <c r="E207" s="2">
        <f ca="1">IFERROR(__xludf.DUMMYFUNCTION("""COMPUTED_VALUE"""),0)</f>
        <v>0</v>
      </c>
      <c r="F207" s="2" t="str">
        <f ca="1">IFERROR(__xludf.DUMMYFUNCTION("""COMPUTED_VALUE"""),"")</f>
        <v/>
      </c>
      <c r="G207" s="2">
        <f ca="1">IFERROR(__xludf.DUMMYFUNCTION("""COMPUTED_VALUE"""),0)</f>
        <v>0</v>
      </c>
      <c r="H207" s="2">
        <f ca="1">IFERROR(__xludf.DUMMYFUNCTION("""COMPUTED_VALUE"""),196)</f>
        <v>196</v>
      </c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">
      <c r="A208" s="2">
        <f ca="1">IFERROR(__xludf.DUMMYFUNCTION("""COMPUTED_VALUE"""),192)</f>
        <v>192</v>
      </c>
      <c r="B208" s="2" t="str">
        <f ca="1">IFERROR(__xludf.DUMMYFUNCTION("""COMPUTED_VALUE"""),"Taivo")</f>
        <v>Taivo</v>
      </c>
      <c r="C208" s="2" t="str">
        <f ca="1">IFERROR(__xludf.DUMMYFUNCTION("""COMPUTED_VALUE"""),"Teder")</f>
        <v>Teder</v>
      </c>
      <c r="D208" s="2">
        <f ca="1">IFERROR(__xludf.DUMMYFUNCTION("""COMPUTED_VALUE"""),0)</f>
        <v>0</v>
      </c>
      <c r="E208" s="2">
        <f ca="1">IFERROR(__xludf.DUMMYFUNCTION("""COMPUTED_VALUE"""),0)</f>
        <v>0</v>
      </c>
      <c r="F208" s="2" t="str">
        <f ca="1">IFERROR(__xludf.DUMMYFUNCTION("""COMPUTED_VALUE"""),"")</f>
        <v/>
      </c>
      <c r="G208" s="2">
        <f ca="1">IFERROR(__xludf.DUMMYFUNCTION("""COMPUTED_VALUE"""),0)</f>
        <v>0</v>
      </c>
      <c r="H208" s="2">
        <f ca="1">IFERROR(__xludf.DUMMYFUNCTION("""COMPUTED_VALUE"""),196)</f>
        <v>196</v>
      </c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">
      <c r="A209" s="2">
        <f ca="1">IFERROR(__xludf.DUMMYFUNCTION("""COMPUTED_VALUE"""),198)</f>
        <v>198</v>
      </c>
      <c r="B209" s="2" t="str">
        <f ca="1">IFERROR(__xludf.DUMMYFUNCTION("""COMPUTED_VALUE"""),"Ave")</f>
        <v>Ave</v>
      </c>
      <c r="C209" s="2" t="str">
        <f ca="1">IFERROR(__xludf.DUMMYFUNCTION("""COMPUTED_VALUE"""),"Proos")</f>
        <v>Proos</v>
      </c>
      <c r="D209" s="2">
        <f ca="1">IFERROR(__xludf.DUMMYFUNCTION("""COMPUTED_VALUE"""),0)</f>
        <v>0</v>
      </c>
      <c r="E209" s="2">
        <f ca="1">IFERROR(__xludf.DUMMYFUNCTION("""COMPUTED_VALUE"""),0)</f>
        <v>0</v>
      </c>
      <c r="F209" s="2" t="str">
        <f ca="1">IFERROR(__xludf.DUMMYFUNCTION("""COMPUTED_VALUE"""),"")</f>
        <v/>
      </c>
      <c r="G209" s="2">
        <f ca="1">IFERROR(__xludf.DUMMYFUNCTION("""COMPUTED_VALUE"""),0)</f>
        <v>0</v>
      </c>
      <c r="H209" s="2">
        <f ca="1">IFERROR(__xludf.DUMMYFUNCTION("""COMPUTED_VALUE"""),196)</f>
        <v>196</v>
      </c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">
      <c r="A210" s="2">
        <f ca="1">IFERROR(__xludf.DUMMYFUNCTION("""COMPUTED_VALUE"""),199)</f>
        <v>199</v>
      </c>
      <c r="B210" s="2" t="str">
        <f ca="1">IFERROR(__xludf.DUMMYFUNCTION("""COMPUTED_VALUE"""),"Andres")</f>
        <v>Andres</v>
      </c>
      <c r="C210" s="2" t="str">
        <f ca="1">IFERROR(__xludf.DUMMYFUNCTION("""COMPUTED_VALUE"""),"Hairk")</f>
        <v>Hairk</v>
      </c>
      <c r="D210" s="2">
        <f ca="1">IFERROR(__xludf.DUMMYFUNCTION("""COMPUTED_VALUE"""),0)</f>
        <v>0</v>
      </c>
      <c r="E210" s="2">
        <f ca="1">IFERROR(__xludf.DUMMYFUNCTION("""COMPUTED_VALUE"""),0)</f>
        <v>0</v>
      </c>
      <c r="F210" s="2" t="str">
        <f ca="1">IFERROR(__xludf.DUMMYFUNCTION("""COMPUTED_VALUE"""),"")</f>
        <v/>
      </c>
      <c r="G210" s="2">
        <f ca="1">IFERROR(__xludf.DUMMYFUNCTION("""COMPUTED_VALUE"""),0)</f>
        <v>0</v>
      </c>
      <c r="H210" s="2">
        <f ca="1">IFERROR(__xludf.DUMMYFUNCTION("""COMPUTED_VALUE"""),196)</f>
        <v>196</v>
      </c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">
      <c r="A211" s="2">
        <f ca="1">IFERROR(__xludf.DUMMYFUNCTION("""COMPUTED_VALUE"""),207)</f>
        <v>207</v>
      </c>
      <c r="B211" s="2" t="str">
        <f ca="1">IFERROR(__xludf.DUMMYFUNCTION("""COMPUTED_VALUE"""),"Merle")</f>
        <v>Merle</v>
      </c>
      <c r="C211" s="2" t="str">
        <f ca="1">IFERROR(__xludf.DUMMYFUNCTION("""COMPUTED_VALUE"""),"Ehrbach")</f>
        <v>Ehrbach</v>
      </c>
      <c r="D211" s="2"/>
      <c r="E211" s="2"/>
      <c r="F211" s="2" t="str">
        <f ca="1">IFERROR(__xludf.DUMMYFUNCTION("""COMPUTED_VALUE"""),"")</f>
        <v/>
      </c>
      <c r="G211" s="2">
        <f ca="1">IFERROR(__xludf.DUMMYFUNCTION("""COMPUTED_VALUE"""),0)</f>
        <v>0</v>
      </c>
      <c r="H211" s="2">
        <f ca="1">IFERROR(__xludf.DUMMYFUNCTION("""COMPUTED_VALUE"""),196)</f>
        <v>196</v>
      </c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">
      <c r="A212" s="2">
        <f ca="1">IFERROR(__xludf.DUMMYFUNCTION("""COMPUTED_VALUE"""),208)</f>
        <v>208</v>
      </c>
      <c r="B212" s="2"/>
      <c r="C212" s="2"/>
      <c r="D212" s="2"/>
      <c r="E212" s="2"/>
      <c r="F212" s="2" t="str">
        <f ca="1">IFERROR(__xludf.DUMMYFUNCTION("""COMPUTED_VALUE"""),"")</f>
        <v/>
      </c>
      <c r="G212" s="2">
        <f ca="1">IFERROR(__xludf.DUMMYFUNCTION("""COMPUTED_VALUE"""),0)</f>
        <v>0</v>
      </c>
      <c r="H212" s="2">
        <f ca="1">IFERROR(__xludf.DUMMYFUNCTION("""COMPUTED_VALUE"""),196)</f>
        <v>196</v>
      </c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">
      <c r="A213" s="2">
        <f ca="1">IFERROR(__xludf.DUMMYFUNCTION("""COMPUTED_VALUE"""),209)</f>
        <v>209</v>
      </c>
      <c r="B213" s="2"/>
      <c r="C213" s="2"/>
      <c r="D213" s="2"/>
      <c r="E213" s="2"/>
      <c r="F213" s="2" t="str">
        <f ca="1">IFERROR(__xludf.DUMMYFUNCTION("""COMPUTED_VALUE"""),"")</f>
        <v/>
      </c>
      <c r="G213" s="2">
        <f ca="1">IFERROR(__xludf.DUMMYFUNCTION("""COMPUTED_VALUE"""),0)</f>
        <v>0</v>
      </c>
      <c r="H213" s="2">
        <f ca="1">IFERROR(__xludf.DUMMYFUNCTION("""COMPUTED_VALUE"""),196)</f>
        <v>196</v>
      </c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">
      <c r="A214" s="2">
        <f ca="1">IFERROR(__xludf.DUMMYFUNCTION("""COMPUTED_VALUE"""),210)</f>
        <v>210</v>
      </c>
      <c r="B214" s="2"/>
      <c r="C214" s="2"/>
      <c r="D214" s="2"/>
      <c r="E214" s="2"/>
      <c r="F214" s="2" t="str">
        <f ca="1">IFERROR(__xludf.DUMMYFUNCTION("""COMPUTED_VALUE"""),"")</f>
        <v/>
      </c>
      <c r="G214" s="2">
        <f ca="1">IFERROR(__xludf.DUMMYFUNCTION("""COMPUTED_VALUE"""),0)</f>
        <v>0</v>
      </c>
      <c r="H214" s="2">
        <f ca="1">IFERROR(__xludf.DUMMYFUNCTION("""COMPUTED_VALUE"""),196)</f>
        <v>196</v>
      </c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">
      <c r="A215" s="2">
        <f ca="1">IFERROR(__xludf.DUMMYFUNCTION("""COMPUTED_VALUE"""),211)</f>
        <v>211</v>
      </c>
      <c r="B215" s="2"/>
      <c r="C215" s="2"/>
      <c r="D215" s="2"/>
      <c r="E215" s="2"/>
      <c r="F215" s="2" t="str">
        <f ca="1">IFERROR(__xludf.DUMMYFUNCTION("""COMPUTED_VALUE"""),"")</f>
        <v/>
      </c>
      <c r="G215" s="2">
        <f ca="1">IFERROR(__xludf.DUMMYFUNCTION("""COMPUTED_VALUE"""),0)</f>
        <v>0</v>
      </c>
      <c r="H215" s="2">
        <f ca="1">IFERROR(__xludf.DUMMYFUNCTION("""COMPUTED_VALUE"""),196)</f>
        <v>196</v>
      </c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">
      <c r="A216" s="2">
        <f ca="1">IFERROR(__xludf.DUMMYFUNCTION("""COMPUTED_VALUE"""),212)</f>
        <v>212</v>
      </c>
      <c r="B216" s="2"/>
      <c r="C216" s="2"/>
      <c r="D216" s="2"/>
      <c r="E216" s="2"/>
      <c r="F216" s="2" t="str">
        <f ca="1">IFERROR(__xludf.DUMMYFUNCTION("""COMPUTED_VALUE"""),"")</f>
        <v/>
      </c>
      <c r="G216" s="2">
        <f ca="1">IFERROR(__xludf.DUMMYFUNCTION("""COMPUTED_VALUE"""),0)</f>
        <v>0</v>
      </c>
      <c r="H216" s="2">
        <f ca="1">IFERROR(__xludf.DUMMYFUNCTION("""COMPUTED_VALUE"""),196)</f>
        <v>196</v>
      </c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">
      <c r="A217" s="2">
        <f ca="1">IFERROR(__xludf.DUMMYFUNCTION("""COMPUTED_VALUE"""),213)</f>
        <v>213</v>
      </c>
      <c r="B217" s="2"/>
      <c r="C217" s="2"/>
      <c r="D217" s="2"/>
      <c r="E217" s="2"/>
      <c r="F217" s="2" t="str">
        <f ca="1">IFERROR(__xludf.DUMMYFUNCTION("""COMPUTED_VALUE"""),"")</f>
        <v/>
      </c>
      <c r="G217" s="2">
        <f ca="1">IFERROR(__xludf.DUMMYFUNCTION("""COMPUTED_VALUE"""),0)</f>
        <v>0</v>
      </c>
      <c r="H217" s="2">
        <f ca="1">IFERROR(__xludf.DUMMYFUNCTION("""COMPUTED_VALUE"""),196)</f>
        <v>196</v>
      </c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">
      <c r="A218" s="2">
        <f ca="1">IFERROR(__xludf.DUMMYFUNCTION("""COMPUTED_VALUE"""),214)</f>
        <v>214</v>
      </c>
      <c r="B218" s="2"/>
      <c r="C218" s="2"/>
      <c r="D218" s="2"/>
      <c r="E218" s="2"/>
      <c r="F218" s="2" t="str">
        <f ca="1">IFERROR(__xludf.DUMMYFUNCTION("""COMPUTED_VALUE"""),"")</f>
        <v/>
      </c>
      <c r="G218" s="2">
        <f ca="1">IFERROR(__xludf.DUMMYFUNCTION("""COMPUTED_VALUE"""),0)</f>
        <v>0</v>
      </c>
      <c r="H218" s="2">
        <f ca="1">IFERROR(__xludf.DUMMYFUNCTION("""COMPUTED_VALUE"""),196)</f>
        <v>196</v>
      </c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">
      <c r="A219" s="2">
        <f ca="1">IFERROR(__xludf.DUMMYFUNCTION("""COMPUTED_VALUE"""),215)</f>
        <v>215</v>
      </c>
      <c r="B219" s="2"/>
      <c r="C219" s="2"/>
      <c r="D219" s="2"/>
      <c r="E219" s="2"/>
      <c r="F219" s="2" t="str">
        <f ca="1">IFERROR(__xludf.DUMMYFUNCTION("""COMPUTED_VALUE"""),"")</f>
        <v/>
      </c>
      <c r="G219" s="2">
        <f ca="1">IFERROR(__xludf.DUMMYFUNCTION("""COMPUTED_VALUE"""),0)</f>
        <v>0</v>
      </c>
      <c r="H219" s="2">
        <f ca="1">IFERROR(__xludf.DUMMYFUNCTION("""COMPUTED_VALUE"""),196)</f>
        <v>196</v>
      </c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">
      <c r="A220" s="2">
        <f ca="1">IFERROR(__xludf.DUMMYFUNCTION("""COMPUTED_VALUE"""),216)</f>
        <v>216</v>
      </c>
      <c r="B220" s="2"/>
      <c r="C220" s="2"/>
      <c r="D220" s="2"/>
      <c r="E220" s="2"/>
      <c r="F220" s="2" t="str">
        <f ca="1">IFERROR(__xludf.DUMMYFUNCTION("""COMPUTED_VALUE"""),"")</f>
        <v/>
      </c>
      <c r="G220" s="2">
        <f ca="1">IFERROR(__xludf.DUMMYFUNCTION("""COMPUTED_VALUE"""),0)</f>
        <v>0</v>
      </c>
      <c r="H220" s="2">
        <f ca="1">IFERROR(__xludf.DUMMYFUNCTION("""COMPUTED_VALUE"""),196)</f>
        <v>196</v>
      </c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">
      <c r="A221" s="2">
        <f ca="1">IFERROR(__xludf.DUMMYFUNCTION("""COMPUTED_VALUE"""),217)</f>
        <v>217</v>
      </c>
      <c r="B221" s="2"/>
      <c r="C221" s="2"/>
      <c r="D221" s="2"/>
      <c r="E221" s="2"/>
      <c r="F221" s="2" t="str">
        <f ca="1">IFERROR(__xludf.DUMMYFUNCTION("""COMPUTED_VALUE"""),"")</f>
        <v/>
      </c>
      <c r="G221" s="2">
        <f ca="1">IFERROR(__xludf.DUMMYFUNCTION("""COMPUTED_VALUE"""),0)</f>
        <v>0</v>
      </c>
      <c r="H221" s="2">
        <f ca="1">IFERROR(__xludf.DUMMYFUNCTION("""COMPUTED_VALUE"""),196)</f>
        <v>196</v>
      </c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">
      <c r="A222" s="2">
        <f ca="1">IFERROR(__xludf.DUMMYFUNCTION("""COMPUTED_VALUE"""),218)</f>
        <v>218</v>
      </c>
      <c r="B222" s="2"/>
      <c r="C222" s="2"/>
      <c r="D222" s="2"/>
      <c r="E222" s="2"/>
      <c r="F222" s="2" t="str">
        <f ca="1">IFERROR(__xludf.DUMMYFUNCTION("""COMPUTED_VALUE"""),"")</f>
        <v/>
      </c>
      <c r="G222" s="2">
        <f ca="1">IFERROR(__xludf.DUMMYFUNCTION("""COMPUTED_VALUE"""),0)</f>
        <v>0</v>
      </c>
      <c r="H222" s="2">
        <f ca="1">IFERROR(__xludf.DUMMYFUNCTION("""COMPUTED_VALUE"""),196)</f>
        <v>196</v>
      </c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">
      <c r="A223" s="2">
        <f ca="1">IFERROR(__xludf.DUMMYFUNCTION("""COMPUTED_VALUE"""),219)</f>
        <v>219</v>
      </c>
      <c r="B223" s="2"/>
      <c r="C223" s="2"/>
      <c r="D223" s="2"/>
      <c r="E223" s="2"/>
      <c r="F223" s="2" t="str">
        <f ca="1">IFERROR(__xludf.DUMMYFUNCTION("""COMPUTED_VALUE"""),"")</f>
        <v/>
      </c>
      <c r="G223" s="2">
        <f ca="1">IFERROR(__xludf.DUMMYFUNCTION("""COMPUTED_VALUE"""),0)</f>
        <v>0</v>
      </c>
      <c r="H223" s="2">
        <f ca="1">IFERROR(__xludf.DUMMYFUNCTION("""COMPUTED_VALUE"""),196)</f>
        <v>196</v>
      </c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">
      <c r="A224" s="2">
        <f ca="1">IFERROR(__xludf.DUMMYFUNCTION("""COMPUTED_VALUE"""),220)</f>
        <v>220</v>
      </c>
      <c r="B224" s="2"/>
      <c r="C224" s="2"/>
      <c r="D224" s="2"/>
      <c r="E224" s="2"/>
      <c r="F224" s="2" t="str">
        <f ca="1">IFERROR(__xludf.DUMMYFUNCTION("""COMPUTED_VALUE"""),"")</f>
        <v/>
      </c>
      <c r="G224" s="2">
        <f ca="1">IFERROR(__xludf.DUMMYFUNCTION("""COMPUTED_VALUE"""),0)</f>
        <v>0</v>
      </c>
      <c r="H224" s="2">
        <f ca="1">IFERROR(__xludf.DUMMYFUNCTION("""COMPUTED_VALUE"""),196)</f>
        <v>196</v>
      </c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">
      <c r="A225" s="2">
        <f ca="1">IFERROR(__xludf.DUMMYFUNCTION("""COMPUTED_VALUE"""),221)</f>
        <v>221</v>
      </c>
      <c r="B225" s="2"/>
      <c r="C225" s="2"/>
      <c r="D225" s="2"/>
      <c r="E225" s="2"/>
      <c r="F225" s="2" t="str">
        <f ca="1">IFERROR(__xludf.DUMMYFUNCTION("""COMPUTED_VALUE"""),"")</f>
        <v/>
      </c>
      <c r="G225" s="2">
        <f ca="1">IFERROR(__xludf.DUMMYFUNCTION("""COMPUTED_VALUE"""),0)</f>
        <v>0</v>
      </c>
      <c r="H225" s="2">
        <f ca="1">IFERROR(__xludf.DUMMYFUNCTION("""COMPUTED_VALUE"""),196)</f>
        <v>196</v>
      </c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">
      <c r="A226" s="2">
        <f ca="1">IFERROR(__xludf.DUMMYFUNCTION("""COMPUTED_VALUE"""),222)</f>
        <v>222</v>
      </c>
      <c r="B226" s="2"/>
      <c r="C226" s="2"/>
      <c r="D226" s="2"/>
      <c r="E226" s="2"/>
      <c r="F226" s="2" t="str">
        <f ca="1">IFERROR(__xludf.DUMMYFUNCTION("""COMPUTED_VALUE"""),"")</f>
        <v/>
      </c>
      <c r="G226" s="2">
        <f ca="1">IFERROR(__xludf.DUMMYFUNCTION("""COMPUTED_VALUE"""),0)</f>
        <v>0</v>
      </c>
      <c r="H226" s="2">
        <f ca="1">IFERROR(__xludf.DUMMYFUNCTION("""COMPUTED_VALUE"""),196)</f>
        <v>196</v>
      </c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">
      <c r="A227" s="2">
        <f ca="1">IFERROR(__xludf.DUMMYFUNCTION("""COMPUTED_VALUE"""),223)</f>
        <v>223</v>
      </c>
      <c r="B227" s="2"/>
      <c r="C227" s="2"/>
      <c r="D227" s="2"/>
      <c r="E227" s="2"/>
      <c r="F227" s="2" t="str">
        <f ca="1">IFERROR(__xludf.DUMMYFUNCTION("""COMPUTED_VALUE"""),"")</f>
        <v/>
      </c>
      <c r="G227" s="2">
        <f ca="1">IFERROR(__xludf.DUMMYFUNCTION("""COMPUTED_VALUE"""),0)</f>
        <v>0</v>
      </c>
      <c r="H227" s="2">
        <f ca="1">IFERROR(__xludf.DUMMYFUNCTION("""COMPUTED_VALUE"""),196)</f>
        <v>196</v>
      </c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">
      <c r="A228" s="2">
        <f ca="1">IFERROR(__xludf.DUMMYFUNCTION("""COMPUTED_VALUE"""),224)</f>
        <v>224</v>
      </c>
      <c r="B228" s="2"/>
      <c r="C228" s="2"/>
      <c r="D228" s="2"/>
      <c r="E228" s="2"/>
      <c r="F228" s="2" t="str">
        <f ca="1">IFERROR(__xludf.DUMMYFUNCTION("""COMPUTED_VALUE"""),"")</f>
        <v/>
      </c>
      <c r="G228" s="2">
        <f ca="1">IFERROR(__xludf.DUMMYFUNCTION("""COMPUTED_VALUE"""),0)</f>
        <v>0</v>
      </c>
      <c r="H228" s="2">
        <f ca="1">IFERROR(__xludf.DUMMYFUNCTION("""COMPUTED_VALUE"""),196)</f>
        <v>196</v>
      </c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">
      <c r="A229" s="2">
        <f ca="1">IFERROR(__xludf.DUMMYFUNCTION("""COMPUTED_VALUE"""),225)</f>
        <v>225</v>
      </c>
      <c r="B229" s="2"/>
      <c r="C229" s="2"/>
      <c r="D229" s="2"/>
      <c r="E229" s="2"/>
      <c r="F229" s="2" t="str">
        <f ca="1">IFERROR(__xludf.DUMMYFUNCTION("""COMPUTED_VALUE"""),"")</f>
        <v/>
      </c>
      <c r="G229" s="2">
        <f ca="1">IFERROR(__xludf.DUMMYFUNCTION("""COMPUTED_VALUE"""),0)</f>
        <v>0</v>
      </c>
      <c r="H229" s="2">
        <f ca="1">IFERROR(__xludf.DUMMYFUNCTION("""COMPUTED_VALUE"""),196)</f>
        <v>196</v>
      </c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">
      <c r="A230" s="2">
        <f ca="1">IFERROR(__xludf.DUMMYFUNCTION("""COMPUTED_VALUE"""),226)</f>
        <v>226</v>
      </c>
      <c r="B230" s="2"/>
      <c r="C230" s="2"/>
      <c r="D230" s="2"/>
      <c r="E230" s="2"/>
      <c r="F230" s="2" t="str">
        <f ca="1">IFERROR(__xludf.DUMMYFUNCTION("""COMPUTED_VALUE"""),"")</f>
        <v/>
      </c>
      <c r="G230" s="2">
        <f ca="1">IFERROR(__xludf.DUMMYFUNCTION("""COMPUTED_VALUE"""),0)</f>
        <v>0</v>
      </c>
      <c r="H230" s="2">
        <f ca="1">IFERROR(__xludf.DUMMYFUNCTION("""COMPUTED_VALUE"""),196)</f>
        <v>196</v>
      </c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">
      <c r="A231" s="2">
        <f ca="1">IFERROR(__xludf.DUMMYFUNCTION("""COMPUTED_VALUE"""),227)</f>
        <v>227</v>
      </c>
      <c r="B231" s="2"/>
      <c r="C231" s="2"/>
      <c r="D231" s="2"/>
      <c r="E231" s="2"/>
      <c r="F231" s="2" t="str">
        <f ca="1">IFERROR(__xludf.DUMMYFUNCTION("""COMPUTED_VALUE"""),"")</f>
        <v/>
      </c>
      <c r="G231" s="2">
        <f ca="1">IFERROR(__xludf.DUMMYFUNCTION("""COMPUTED_VALUE"""),0)</f>
        <v>0</v>
      </c>
      <c r="H231" s="2">
        <f ca="1">IFERROR(__xludf.DUMMYFUNCTION("""COMPUTED_VALUE"""),196)</f>
        <v>196</v>
      </c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">
      <c r="A232" s="2">
        <f ca="1">IFERROR(__xludf.DUMMYFUNCTION("""COMPUTED_VALUE"""),228)</f>
        <v>228</v>
      </c>
      <c r="B232" s="2"/>
      <c r="C232" s="2"/>
      <c r="D232" s="2"/>
      <c r="E232" s="2"/>
      <c r="F232" s="2" t="str">
        <f ca="1">IFERROR(__xludf.DUMMYFUNCTION("""COMPUTED_VALUE"""),"")</f>
        <v/>
      </c>
      <c r="G232" s="2">
        <f ca="1">IFERROR(__xludf.DUMMYFUNCTION("""COMPUTED_VALUE"""),0)</f>
        <v>0</v>
      </c>
      <c r="H232" s="2">
        <f ca="1">IFERROR(__xludf.DUMMYFUNCTION("""COMPUTED_VALUE"""),196)</f>
        <v>196</v>
      </c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">
      <c r="A233" s="2">
        <f ca="1">IFERROR(__xludf.DUMMYFUNCTION("""COMPUTED_VALUE"""),229)</f>
        <v>229</v>
      </c>
      <c r="B233" s="2"/>
      <c r="C233" s="2"/>
      <c r="D233" s="2"/>
      <c r="E233" s="2"/>
      <c r="F233" s="2" t="str">
        <f ca="1">IFERROR(__xludf.DUMMYFUNCTION("""COMPUTED_VALUE"""),"")</f>
        <v/>
      </c>
      <c r="G233" s="2">
        <f ca="1">IFERROR(__xludf.DUMMYFUNCTION("""COMPUTED_VALUE"""),0)</f>
        <v>0</v>
      </c>
      <c r="H233" s="2">
        <f ca="1">IFERROR(__xludf.DUMMYFUNCTION("""COMPUTED_VALUE"""),196)</f>
        <v>196</v>
      </c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">
      <c r="A234" s="2">
        <f ca="1">IFERROR(__xludf.DUMMYFUNCTION("""COMPUTED_VALUE"""),230)</f>
        <v>230</v>
      </c>
      <c r="B234" s="2"/>
      <c r="C234" s="2"/>
      <c r="D234" s="2"/>
      <c r="E234" s="2"/>
      <c r="F234" s="2" t="str">
        <f ca="1">IFERROR(__xludf.DUMMYFUNCTION("""COMPUTED_VALUE"""),"")</f>
        <v/>
      </c>
      <c r="G234" s="2">
        <f ca="1">IFERROR(__xludf.DUMMYFUNCTION("""COMPUTED_VALUE"""),0)</f>
        <v>0</v>
      </c>
      <c r="H234" s="2">
        <f ca="1">IFERROR(__xludf.DUMMYFUNCTION("""COMPUTED_VALUE"""),196)</f>
        <v>196</v>
      </c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">
      <c r="A235" s="2">
        <f ca="1">IFERROR(__xludf.DUMMYFUNCTION("""COMPUTED_VALUE"""),231)</f>
        <v>231</v>
      </c>
      <c r="B235" s="2"/>
      <c r="C235" s="2"/>
      <c r="D235" s="2"/>
      <c r="E235" s="2"/>
      <c r="F235" s="2" t="str">
        <f ca="1">IFERROR(__xludf.DUMMYFUNCTION("""COMPUTED_VALUE"""),"")</f>
        <v/>
      </c>
      <c r="G235" s="2">
        <f ca="1">IFERROR(__xludf.DUMMYFUNCTION("""COMPUTED_VALUE"""),0)</f>
        <v>0</v>
      </c>
      <c r="H235" s="2">
        <f ca="1">IFERROR(__xludf.DUMMYFUNCTION("""COMPUTED_VALUE"""),196)</f>
        <v>196</v>
      </c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">
      <c r="A236" s="2">
        <f ca="1">IFERROR(__xludf.DUMMYFUNCTION("""COMPUTED_VALUE"""),232)</f>
        <v>232</v>
      </c>
      <c r="B236" s="2"/>
      <c r="C236" s="2"/>
      <c r="D236" s="2"/>
      <c r="E236" s="2"/>
      <c r="F236" s="2" t="str">
        <f ca="1">IFERROR(__xludf.DUMMYFUNCTION("""COMPUTED_VALUE"""),"")</f>
        <v/>
      </c>
      <c r="G236" s="2">
        <f ca="1">IFERROR(__xludf.DUMMYFUNCTION("""COMPUTED_VALUE"""),0)</f>
        <v>0</v>
      </c>
      <c r="H236" s="2">
        <f ca="1">IFERROR(__xludf.DUMMYFUNCTION("""COMPUTED_VALUE"""),196)</f>
        <v>196</v>
      </c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">
      <c r="A237" s="2">
        <f ca="1">IFERROR(__xludf.DUMMYFUNCTION("""COMPUTED_VALUE"""),233)</f>
        <v>233</v>
      </c>
      <c r="B237" s="2"/>
      <c r="C237" s="2"/>
      <c r="D237" s="2"/>
      <c r="E237" s="2"/>
      <c r="F237" s="2" t="str">
        <f ca="1">IFERROR(__xludf.DUMMYFUNCTION("""COMPUTED_VALUE"""),"")</f>
        <v/>
      </c>
      <c r="G237" s="2">
        <f ca="1">IFERROR(__xludf.DUMMYFUNCTION("""COMPUTED_VALUE"""),0)</f>
        <v>0</v>
      </c>
      <c r="H237" s="2">
        <f ca="1">IFERROR(__xludf.DUMMYFUNCTION("""COMPUTED_VALUE"""),196)</f>
        <v>196</v>
      </c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">
      <c r="A238" s="2">
        <f ca="1">IFERROR(__xludf.DUMMYFUNCTION("""COMPUTED_VALUE"""),234)</f>
        <v>234</v>
      </c>
      <c r="B238" s="2"/>
      <c r="C238" s="2"/>
      <c r="D238" s="2"/>
      <c r="E238" s="2"/>
      <c r="F238" s="2" t="str">
        <f ca="1">IFERROR(__xludf.DUMMYFUNCTION("""COMPUTED_VALUE"""),"")</f>
        <v/>
      </c>
      <c r="G238" s="2">
        <f ca="1">IFERROR(__xludf.DUMMYFUNCTION("""COMPUTED_VALUE"""),0)</f>
        <v>0</v>
      </c>
      <c r="H238" s="2">
        <f ca="1">IFERROR(__xludf.DUMMYFUNCTION("""COMPUTED_VALUE"""),196)</f>
        <v>196</v>
      </c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">
      <c r="A239" s="2">
        <f ca="1">IFERROR(__xludf.DUMMYFUNCTION("""COMPUTED_VALUE"""),235)</f>
        <v>235</v>
      </c>
      <c r="B239" s="2"/>
      <c r="C239" s="2"/>
      <c r="D239" s="2"/>
      <c r="E239" s="2"/>
      <c r="F239" s="2" t="str">
        <f ca="1">IFERROR(__xludf.DUMMYFUNCTION("""COMPUTED_VALUE"""),"")</f>
        <v/>
      </c>
      <c r="G239" s="2">
        <f ca="1">IFERROR(__xludf.DUMMYFUNCTION("""COMPUTED_VALUE"""),0)</f>
        <v>0</v>
      </c>
      <c r="H239" s="2">
        <f ca="1">IFERROR(__xludf.DUMMYFUNCTION("""COMPUTED_VALUE"""),196)</f>
        <v>196</v>
      </c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">
      <c r="A240" s="2">
        <f ca="1">IFERROR(__xludf.DUMMYFUNCTION("""COMPUTED_VALUE"""),236)</f>
        <v>236</v>
      </c>
      <c r="B240" s="2"/>
      <c r="C240" s="2"/>
      <c r="D240" s="2"/>
      <c r="E240" s="2"/>
      <c r="F240" s="2" t="str">
        <f ca="1">IFERROR(__xludf.DUMMYFUNCTION("""COMPUTED_VALUE"""),"")</f>
        <v/>
      </c>
      <c r="G240" s="2">
        <f ca="1">IFERROR(__xludf.DUMMYFUNCTION("""COMPUTED_VALUE"""),0)</f>
        <v>0</v>
      </c>
      <c r="H240" s="2">
        <f ca="1">IFERROR(__xludf.DUMMYFUNCTION("""COMPUTED_VALUE"""),196)</f>
        <v>196</v>
      </c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">
      <c r="A241" s="2">
        <f ca="1">IFERROR(__xludf.DUMMYFUNCTION("""COMPUTED_VALUE"""),237)</f>
        <v>237</v>
      </c>
      <c r="B241" s="2"/>
      <c r="C241" s="2"/>
      <c r="D241" s="2"/>
      <c r="E241" s="2"/>
      <c r="F241" s="2" t="str">
        <f ca="1">IFERROR(__xludf.DUMMYFUNCTION("""COMPUTED_VALUE"""),"")</f>
        <v/>
      </c>
      <c r="G241" s="2">
        <f ca="1">IFERROR(__xludf.DUMMYFUNCTION("""COMPUTED_VALUE"""),0)</f>
        <v>0</v>
      </c>
      <c r="H241" s="2">
        <f ca="1">IFERROR(__xludf.DUMMYFUNCTION("""COMPUTED_VALUE"""),196)</f>
        <v>196</v>
      </c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">
      <c r="A242" s="2">
        <f ca="1">IFERROR(__xludf.DUMMYFUNCTION("""COMPUTED_VALUE"""),238)</f>
        <v>238</v>
      </c>
      <c r="B242" s="2"/>
      <c r="C242" s="2"/>
      <c r="D242" s="2"/>
      <c r="E242" s="2"/>
      <c r="F242" s="2" t="str">
        <f ca="1">IFERROR(__xludf.DUMMYFUNCTION("""COMPUTED_VALUE"""),"")</f>
        <v/>
      </c>
      <c r="G242" s="2">
        <f ca="1">IFERROR(__xludf.DUMMYFUNCTION("""COMPUTED_VALUE"""),0)</f>
        <v>0</v>
      </c>
      <c r="H242" s="2">
        <f ca="1">IFERROR(__xludf.DUMMYFUNCTION("""COMPUTED_VALUE"""),196)</f>
        <v>196</v>
      </c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">
      <c r="A243" s="2">
        <f ca="1">IFERROR(__xludf.DUMMYFUNCTION("""COMPUTED_VALUE"""),239)</f>
        <v>239</v>
      </c>
      <c r="B243" s="2"/>
      <c r="C243" s="2"/>
      <c r="D243" s="2"/>
      <c r="E243" s="2"/>
      <c r="F243" s="2" t="str">
        <f ca="1">IFERROR(__xludf.DUMMYFUNCTION("""COMPUTED_VALUE"""),"")</f>
        <v/>
      </c>
      <c r="G243" s="2">
        <f ca="1">IFERROR(__xludf.DUMMYFUNCTION("""COMPUTED_VALUE"""),0)</f>
        <v>0</v>
      </c>
      <c r="H243" s="2">
        <f ca="1">IFERROR(__xludf.DUMMYFUNCTION("""COMPUTED_VALUE"""),196)</f>
        <v>196</v>
      </c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">
      <c r="A244" s="2">
        <f ca="1">IFERROR(__xludf.DUMMYFUNCTION("""COMPUTED_VALUE"""),240)</f>
        <v>240</v>
      </c>
      <c r="B244" s="2"/>
      <c r="C244" s="2"/>
      <c r="D244" s="2"/>
      <c r="E244" s="2"/>
      <c r="F244" s="2" t="str">
        <f ca="1">IFERROR(__xludf.DUMMYFUNCTION("""COMPUTED_VALUE"""),"")</f>
        <v/>
      </c>
      <c r="G244" s="2">
        <f ca="1">IFERROR(__xludf.DUMMYFUNCTION("""COMPUTED_VALUE"""),0)</f>
        <v>0</v>
      </c>
      <c r="H244" s="2">
        <f ca="1">IFERROR(__xludf.DUMMYFUNCTION("""COMPUTED_VALUE"""),196)</f>
        <v>196</v>
      </c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">
      <c r="A245" s="2">
        <f ca="1">IFERROR(__xludf.DUMMYFUNCTION("""COMPUTED_VALUE"""),241)</f>
        <v>241</v>
      </c>
      <c r="B245" s="2"/>
      <c r="C245" s="2"/>
      <c r="D245" s="2"/>
      <c r="E245" s="2"/>
      <c r="F245" s="2" t="str">
        <f ca="1">IFERROR(__xludf.DUMMYFUNCTION("""COMPUTED_VALUE"""),"")</f>
        <v/>
      </c>
      <c r="G245" s="2">
        <f ca="1">IFERROR(__xludf.DUMMYFUNCTION("""COMPUTED_VALUE"""),0)</f>
        <v>0</v>
      </c>
      <c r="H245" s="2">
        <f ca="1">IFERROR(__xludf.DUMMYFUNCTION("""COMPUTED_VALUE"""),196)</f>
        <v>196</v>
      </c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">
      <c r="A246" s="2">
        <f ca="1">IFERROR(__xludf.DUMMYFUNCTION("""COMPUTED_VALUE"""),242)</f>
        <v>242</v>
      </c>
      <c r="B246" s="2"/>
      <c r="C246" s="2"/>
      <c r="D246" s="2"/>
      <c r="E246" s="2"/>
      <c r="F246" s="2" t="str">
        <f ca="1">IFERROR(__xludf.DUMMYFUNCTION("""COMPUTED_VALUE"""),"")</f>
        <v/>
      </c>
      <c r="G246" s="2">
        <f ca="1">IFERROR(__xludf.DUMMYFUNCTION("""COMPUTED_VALUE"""),0)</f>
        <v>0</v>
      </c>
      <c r="H246" s="2">
        <f ca="1">IFERROR(__xludf.DUMMYFUNCTION("""COMPUTED_VALUE"""),196)</f>
        <v>196</v>
      </c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">
      <c r="A247" s="2">
        <f ca="1">IFERROR(__xludf.DUMMYFUNCTION("""COMPUTED_VALUE"""),243)</f>
        <v>243</v>
      </c>
      <c r="B247" s="2"/>
      <c r="C247" s="2"/>
      <c r="D247" s="2"/>
      <c r="E247" s="2"/>
      <c r="F247" s="2" t="str">
        <f ca="1">IFERROR(__xludf.DUMMYFUNCTION("""COMPUTED_VALUE"""),"")</f>
        <v/>
      </c>
      <c r="G247" s="2">
        <f ca="1">IFERROR(__xludf.DUMMYFUNCTION("""COMPUTED_VALUE"""),0)</f>
        <v>0</v>
      </c>
      <c r="H247" s="2">
        <f ca="1">IFERROR(__xludf.DUMMYFUNCTION("""COMPUTED_VALUE"""),196)</f>
        <v>196</v>
      </c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">
      <c r="A248" s="2">
        <f ca="1">IFERROR(__xludf.DUMMYFUNCTION("""COMPUTED_VALUE"""),244)</f>
        <v>244</v>
      </c>
      <c r="B248" s="2"/>
      <c r="C248" s="2"/>
      <c r="D248" s="2"/>
      <c r="E248" s="2"/>
      <c r="F248" s="2" t="str">
        <f ca="1">IFERROR(__xludf.DUMMYFUNCTION("""COMPUTED_VALUE"""),"")</f>
        <v/>
      </c>
      <c r="G248" s="2">
        <f ca="1">IFERROR(__xludf.DUMMYFUNCTION("""COMPUTED_VALUE"""),0)</f>
        <v>0</v>
      </c>
      <c r="H248" s="2">
        <f ca="1">IFERROR(__xludf.DUMMYFUNCTION("""COMPUTED_VALUE"""),196)</f>
        <v>196</v>
      </c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">
      <c r="A249" s="2">
        <f ca="1">IFERROR(__xludf.DUMMYFUNCTION("""COMPUTED_VALUE"""),245)</f>
        <v>245</v>
      </c>
      <c r="B249" s="2"/>
      <c r="C249" s="2"/>
      <c r="D249" s="2"/>
      <c r="E249" s="2"/>
      <c r="F249" s="2" t="str">
        <f ca="1">IFERROR(__xludf.DUMMYFUNCTION("""COMPUTED_VALUE"""),"")</f>
        <v/>
      </c>
      <c r="G249" s="2">
        <f ca="1">IFERROR(__xludf.DUMMYFUNCTION("""COMPUTED_VALUE"""),0)</f>
        <v>0</v>
      </c>
      <c r="H249" s="2">
        <f ca="1">IFERROR(__xludf.DUMMYFUNCTION("""COMPUTED_VALUE"""),196)</f>
        <v>196</v>
      </c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">
      <c r="A250" s="2">
        <f ca="1">IFERROR(__xludf.DUMMYFUNCTION("""COMPUTED_VALUE"""),246)</f>
        <v>246</v>
      </c>
      <c r="B250" s="2"/>
      <c r="C250" s="2"/>
      <c r="D250" s="2"/>
      <c r="E250" s="2"/>
      <c r="F250" s="2" t="str">
        <f ca="1">IFERROR(__xludf.DUMMYFUNCTION("""COMPUTED_VALUE"""),"")</f>
        <v/>
      </c>
      <c r="G250" s="2">
        <f ca="1">IFERROR(__xludf.DUMMYFUNCTION("""COMPUTED_VALUE"""),0)</f>
        <v>0</v>
      </c>
      <c r="H250" s="2">
        <f ca="1">IFERROR(__xludf.DUMMYFUNCTION("""COMPUTED_VALUE"""),196)</f>
        <v>196</v>
      </c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">
      <c r="A251" s="2">
        <f ca="1">IFERROR(__xludf.DUMMYFUNCTION("""COMPUTED_VALUE"""),247)</f>
        <v>247</v>
      </c>
      <c r="B251" s="2"/>
      <c r="C251" s="2"/>
      <c r="D251" s="2"/>
      <c r="E251" s="2"/>
      <c r="F251" s="2" t="str">
        <f ca="1">IFERROR(__xludf.DUMMYFUNCTION("""COMPUTED_VALUE"""),"")</f>
        <v/>
      </c>
      <c r="G251" s="2">
        <f ca="1">IFERROR(__xludf.DUMMYFUNCTION("""COMPUTED_VALUE"""),0)</f>
        <v>0</v>
      </c>
      <c r="H251" s="2">
        <f ca="1">IFERROR(__xludf.DUMMYFUNCTION("""COMPUTED_VALUE"""),196)</f>
        <v>196</v>
      </c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">
      <c r="A252" s="2">
        <f ca="1">IFERROR(__xludf.DUMMYFUNCTION("""COMPUTED_VALUE"""),248)</f>
        <v>248</v>
      </c>
      <c r="B252" s="2"/>
      <c r="C252" s="2"/>
      <c r="D252" s="2"/>
      <c r="E252" s="2"/>
      <c r="F252" s="2" t="str">
        <f ca="1">IFERROR(__xludf.DUMMYFUNCTION("""COMPUTED_VALUE"""),"")</f>
        <v/>
      </c>
      <c r="G252" s="2">
        <f ca="1">IFERROR(__xludf.DUMMYFUNCTION("""COMPUTED_VALUE"""),0)</f>
        <v>0</v>
      </c>
      <c r="H252" s="2">
        <f ca="1">IFERROR(__xludf.DUMMYFUNCTION("""COMPUTED_VALUE"""),196)</f>
        <v>196</v>
      </c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">
      <c r="A253" s="2">
        <f ca="1">IFERROR(__xludf.DUMMYFUNCTION("""COMPUTED_VALUE"""),249)</f>
        <v>249</v>
      </c>
      <c r="B253" s="2"/>
      <c r="C253" s="2"/>
      <c r="D253" s="2" t="str">
        <f ca="1">IFERROR(__xludf.DUMMYFUNCTION("""COMPUTED_VALUE"""),"")</f>
        <v/>
      </c>
      <c r="E253" s="2"/>
      <c r="F253" s="2" t="str">
        <f ca="1">IFERROR(__xludf.DUMMYFUNCTION("""COMPUTED_VALUE"""),"")</f>
        <v/>
      </c>
      <c r="G253" s="2">
        <f ca="1">IFERROR(__xludf.DUMMYFUNCTION("""COMPUTED_VALUE"""),0)</f>
        <v>0</v>
      </c>
      <c r="H253" s="2">
        <f ca="1">IFERROR(__xludf.DUMMYFUNCTION("""COMPUTED_VALUE"""),196)</f>
        <v>196</v>
      </c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">
      <c r="A254" s="2">
        <f ca="1">IFERROR(__xludf.DUMMYFUNCTION("""COMPUTED_VALUE"""),250)</f>
        <v>250</v>
      </c>
      <c r="B254" s="2"/>
      <c r="C254" s="2"/>
      <c r="D254" s="2" t="str">
        <f ca="1">IFERROR(__xludf.DUMMYFUNCTION("""COMPUTED_VALUE"""),"")</f>
        <v/>
      </c>
      <c r="E254" s="2"/>
      <c r="F254" s="2" t="str">
        <f ca="1">IFERROR(__xludf.DUMMYFUNCTION("""COMPUTED_VALUE"""),"")</f>
        <v/>
      </c>
      <c r="G254" s="2">
        <f ca="1">IFERROR(__xludf.DUMMYFUNCTION("""COMPUTED_VALUE"""),0)</f>
        <v>0</v>
      </c>
      <c r="H254" s="2">
        <f ca="1">IFERROR(__xludf.DUMMYFUNCTION("""COMPUTED_VALUE"""),196)</f>
        <v>196</v>
      </c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">
      <c r="A255" s="2">
        <f ca="1">IFERROR(__xludf.DUMMYFUNCTION("""COMPUTED_VALUE"""),251)</f>
        <v>251</v>
      </c>
      <c r="B255" s="2"/>
      <c r="C255" s="2"/>
      <c r="D255" s="2" t="str">
        <f ca="1">IFERROR(__xludf.DUMMYFUNCTION("""COMPUTED_VALUE"""),"")</f>
        <v/>
      </c>
      <c r="E255" s="2"/>
      <c r="F255" s="2" t="str">
        <f ca="1">IFERROR(__xludf.DUMMYFUNCTION("""COMPUTED_VALUE"""),"")</f>
        <v/>
      </c>
      <c r="G255" s="2">
        <f ca="1">IFERROR(__xludf.DUMMYFUNCTION("""COMPUTED_VALUE"""),0)</f>
        <v>0</v>
      </c>
      <c r="H255" s="2">
        <f ca="1">IFERROR(__xludf.DUMMYFUNCTION("""COMPUTED_VALUE"""),196)</f>
        <v>196</v>
      </c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">
      <c r="A256" s="2">
        <f ca="1">IFERROR(__xludf.DUMMYFUNCTION("""COMPUTED_VALUE"""),252)</f>
        <v>252</v>
      </c>
      <c r="B256" s="2"/>
      <c r="C256" s="2"/>
      <c r="D256" s="2" t="str">
        <f ca="1">IFERROR(__xludf.DUMMYFUNCTION("""COMPUTED_VALUE"""),"")</f>
        <v/>
      </c>
      <c r="E256" s="2"/>
      <c r="F256" s="2" t="str">
        <f ca="1">IFERROR(__xludf.DUMMYFUNCTION("""COMPUTED_VALUE"""),"")</f>
        <v/>
      </c>
      <c r="G256" s="2">
        <f ca="1">IFERROR(__xludf.DUMMYFUNCTION("""COMPUTED_VALUE"""),0)</f>
        <v>0</v>
      </c>
      <c r="H256" s="2">
        <f ca="1">IFERROR(__xludf.DUMMYFUNCTION("""COMPUTED_VALUE"""),196)</f>
        <v>196</v>
      </c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">
      <c r="A257" s="2">
        <f ca="1">IFERROR(__xludf.DUMMYFUNCTION("""COMPUTED_VALUE"""),253)</f>
        <v>253</v>
      </c>
      <c r="B257" s="2"/>
      <c r="C257" s="2"/>
      <c r="D257" s="2" t="str">
        <f ca="1">IFERROR(__xludf.DUMMYFUNCTION("""COMPUTED_VALUE"""),"")</f>
        <v/>
      </c>
      <c r="E257" s="2"/>
      <c r="F257" s="2" t="str">
        <f ca="1">IFERROR(__xludf.DUMMYFUNCTION("""COMPUTED_VALUE"""),"")</f>
        <v/>
      </c>
      <c r="G257" s="2">
        <f ca="1">IFERROR(__xludf.DUMMYFUNCTION("""COMPUTED_VALUE"""),0)</f>
        <v>0</v>
      </c>
      <c r="H257" s="2">
        <f ca="1">IFERROR(__xludf.DUMMYFUNCTION("""COMPUTED_VALUE"""),196)</f>
        <v>196</v>
      </c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">
      <c r="A258" s="2">
        <f ca="1">IFERROR(__xludf.DUMMYFUNCTION("""COMPUTED_VALUE"""),254)</f>
        <v>254</v>
      </c>
      <c r="B258" s="2"/>
      <c r="C258" s="2"/>
      <c r="D258" s="2" t="str">
        <f ca="1">IFERROR(__xludf.DUMMYFUNCTION("""COMPUTED_VALUE"""),"")</f>
        <v/>
      </c>
      <c r="E258" s="2"/>
      <c r="F258" s="2" t="str">
        <f ca="1">IFERROR(__xludf.DUMMYFUNCTION("""COMPUTED_VALUE"""),"")</f>
        <v/>
      </c>
      <c r="G258" s="2">
        <f ca="1">IFERROR(__xludf.DUMMYFUNCTION("""COMPUTED_VALUE"""),0)</f>
        <v>0</v>
      </c>
      <c r="H258" s="2">
        <f ca="1">IFERROR(__xludf.DUMMYFUNCTION("""COMPUTED_VALUE"""),196)</f>
        <v>196</v>
      </c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">
      <c r="A259" s="2">
        <f ca="1">IFERROR(__xludf.DUMMYFUNCTION("""COMPUTED_VALUE"""),255)</f>
        <v>255</v>
      </c>
      <c r="B259" s="2"/>
      <c r="C259" s="2"/>
      <c r="D259" s="2" t="str">
        <f ca="1">IFERROR(__xludf.DUMMYFUNCTION("""COMPUTED_VALUE"""),"")</f>
        <v/>
      </c>
      <c r="E259" s="2"/>
      <c r="F259" s="2" t="str">
        <f ca="1">IFERROR(__xludf.DUMMYFUNCTION("""COMPUTED_VALUE"""),"")</f>
        <v/>
      </c>
      <c r="G259" s="2">
        <f ca="1">IFERROR(__xludf.DUMMYFUNCTION("""COMPUTED_VALUE"""),0)</f>
        <v>0</v>
      </c>
      <c r="H259" s="2">
        <f ca="1">IFERROR(__xludf.DUMMYFUNCTION("""COMPUTED_VALUE"""),196)</f>
        <v>196</v>
      </c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">
      <c r="A260" s="2">
        <f ca="1">IFERROR(__xludf.DUMMYFUNCTION("""COMPUTED_VALUE"""),256)</f>
        <v>256</v>
      </c>
      <c r="B260" s="2"/>
      <c r="C260" s="2"/>
      <c r="D260" s="2" t="str">
        <f ca="1">IFERROR(__xludf.DUMMYFUNCTION("""COMPUTED_VALUE"""),"")</f>
        <v/>
      </c>
      <c r="E260" s="2"/>
      <c r="F260" s="2" t="str">
        <f ca="1">IFERROR(__xludf.DUMMYFUNCTION("""COMPUTED_VALUE"""),"")</f>
        <v/>
      </c>
      <c r="G260" s="2">
        <f ca="1">IFERROR(__xludf.DUMMYFUNCTION("""COMPUTED_VALUE"""),0)</f>
        <v>0</v>
      </c>
      <c r="H260" s="2">
        <f ca="1">IFERROR(__xludf.DUMMYFUNCTION("""COMPUTED_VALUE"""),196)</f>
        <v>196</v>
      </c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">
      <c r="A261" s="2">
        <f ca="1">IFERROR(__xludf.DUMMYFUNCTION("""COMPUTED_VALUE"""),257)</f>
        <v>257</v>
      </c>
      <c r="B261" s="2"/>
      <c r="C261" s="2"/>
      <c r="D261" s="2" t="str">
        <f ca="1">IFERROR(__xludf.DUMMYFUNCTION("""COMPUTED_VALUE"""),"")</f>
        <v/>
      </c>
      <c r="E261" s="2"/>
      <c r="F261" s="2" t="str">
        <f ca="1">IFERROR(__xludf.DUMMYFUNCTION("""COMPUTED_VALUE"""),"")</f>
        <v/>
      </c>
      <c r="G261" s="2">
        <f ca="1">IFERROR(__xludf.DUMMYFUNCTION("""COMPUTED_VALUE"""),0)</f>
        <v>0</v>
      </c>
      <c r="H261" s="2">
        <f ca="1">IFERROR(__xludf.DUMMYFUNCTION("""COMPUTED_VALUE"""),196)</f>
        <v>196</v>
      </c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">
      <c r="A262" s="2">
        <f ca="1">IFERROR(__xludf.DUMMYFUNCTION("""COMPUTED_VALUE"""),258)</f>
        <v>258</v>
      </c>
      <c r="B262" s="2"/>
      <c r="C262" s="2"/>
      <c r="D262" s="2" t="str">
        <f ca="1">IFERROR(__xludf.DUMMYFUNCTION("""COMPUTED_VALUE"""),"")</f>
        <v/>
      </c>
      <c r="E262" s="2"/>
      <c r="F262" s="2" t="str">
        <f ca="1">IFERROR(__xludf.DUMMYFUNCTION("""COMPUTED_VALUE"""),"")</f>
        <v/>
      </c>
      <c r="G262" s="2">
        <f ca="1">IFERROR(__xludf.DUMMYFUNCTION("""COMPUTED_VALUE"""),0)</f>
        <v>0</v>
      </c>
      <c r="H262" s="2">
        <f ca="1">IFERROR(__xludf.DUMMYFUNCTION("""COMPUTED_VALUE"""),196)</f>
        <v>196</v>
      </c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">
      <c r="A263" s="2">
        <f ca="1">IFERROR(__xludf.DUMMYFUNCTION("""COMPUTED_VALUE"""),259)</f>
        <v>259</v>
      </c>
      <c r="B263" s="2"/>
      <c r="C263" s="2"/>
      <c r="D263" s="2" t="str">
        <f ca="1">IFERROR(__xludf.DUMMYFUNCTION("""COMPUTED_VALUE"""),"")</f>
        <v/>
      </c>
      <c r="E263" s="2"/>
      <c r="F263" s="2" t="str">
        <f ca="1">IFERROR(__xludf.DUMMYFUNCTION("""COMPUTED_VALUE"""),"")</f>
        <v/>
      </c>
      <c r="G263" s="2">
        <f ca="1">IFERROR(__xludf.DUMMYFUNCTION("""COMPUTED_VALUE"""),0)</f>
        <v>0</v>
      </c>
      <c r="H263" s="2">
        <f ca="1">IFERROR(__xludf.DUMMYFUNCTION("""COMPUTED_VALUE"""),196)</f>
        <v>196</v>
      </c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">
      <c r="A264" s="2">
        <f ca="1">IFERROR(__xludf.DUMMYFUNCTION("""COMPUTED_VALUE"""),260)</f>
        <v>260</v>
      </c>
      <c r="B264" s="2"/>
      <c r="C264" s="2"/>
      <c r="D264" s="2" t="str">
        <f ca="1">IFERROR(__xludf.DUMMYFUNCTION("""COMPUTED_VALUE"""),"")</f>
        <v/>
      </c>
      <c r="E264" s="2"/>
      <c r="F264" s="2" t="str">
        <f ca="1">IFERROR(__xludf.DUMMYFUNCTION("""COMPUTED_VALUE"""),"")</f>
        <v/>
      </c>
      <c r="G264" s="2">
        <f ca="1">IFERROR(__xludf.DUMMYFUNCTION("""COMPUTED_VALUE"""),0)</f>
        <v>0</v>
      </c>
      <c r="H264" s="2">
        <f ca="1">IFERROR(__xludf.DUMMYFUNCTION("""COMPUTED_VALUE"""),196)</f>
        <v>196</v>
      </c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">
      <c r="A265" s="2">
        <f ca="1">IFERROR(__xludf.DUMMYFUNCTION("""COMPUTED_VALUE"""),261)</f>
        <v>261</v>
      </c>
      <c r="B265" s="2"/>
      <c r="C265" s="2"/>
      <c r="D265" s="2" t="str">
        <f ca="1">IFERROR(__xludf.DUMMYFUNCTION("""COMPUTED_VALUE"""),"")</f>
        <v/>
      </c>
      <c r="E265" s="2"/>
      <c r="F265" s="2" t="str">
        <f ca="1">IFERROR(__xludf.DUMMYFUNCTION("""COMPUTED_VALUE"""),"")</f>
        <v/>
      </c>
      <c r="G265" s="2">
        <f ca="1">IFERROR(__xludf.DUMMYFUNCTION("""COMPUTED_VALUE"""),0)</f>
        <v>0</v>
      </c>
      <c r="H265" s="2">
        <f ca="1">IFERROR(__xludf.DUMMYFUNCTION("""COMPUTED_VALUE"""),196)</f>
        <v>196</v>
      </c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">
      <c r="A266" s="2">
        <f ca="1">IFERROR(__xludf.DUMMYFUNCTION("""COMPUTED_VALUE"""),262)</f>
        <v>262</v>
      </c>
      <c r="B266" s="2"/>
      <c r="C266" s="2"/>
      <c r="D266" s="2" t="str">
        <f ca="1">IFERROR(__xludf.DUMMYFUNCTION("""COMPUTED_VALUE"""),"")</f>
        <v/>
      </c>
      <c r="E266" s="2"/>
      <c r="F266" s="2" t="str">
        <f ca="1">IFERROR(__xludf.DUMMYFUNCTION("""COMPUTED_VALUE"""),"")</f>
        <v/>
      </c>
      <c r="G266" s="2">
        <f ca="1">IFERROR(__xludf.DUMMYFUNCTION("""COMPUTED_VALUE"""),0)</f>
        <v>0</v>
      </c>
      <c r="H266" s="2">
        <f ca="1">IFERROR(__xludf.DUMMYFUNCTION("""COMPUTED_VALUE"""),196)</f>
        <v>196</v>
      </c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">
      <c r="A267" s="2">
        <f ca="1">IFERROR(__xludf.DUMMYFUNCTION("""COMPUTED_VALUE"""),263)</f>
        <v>263</v>
      </c>
      <c r="B267" s="2"/>
      <c r="C267" s="2"/>
      <c r="D267" s="2" t="str">
        <f ca="1">IFERROR(__xludf.DUMMYFUNCTION("""COMPUTED_VALUE"""),"")</f>
        <v/>
      </c>
      <c r="E267" s="2"/>
      <c r="F267" s="2" t="str">
        <f ca="1">IFERROR(__xludf.DUMMYFUNCTION("""COMPUTED_VALUE"""),"")</f>
        <v/>
      </c>
      <c r="G267" s="2">
        <f ca="1">IFERROR(__xludf.DUMMYFUNCTION("""COMPUTED_VALUE"""),0)</f>
        <v>0</v>
      </c>
      <c r="H267" s="2">
        <f ca="1">IFERROR(__xludf.DUMMYFUNCTION("""COMPUTED_VALUE"""),196)</f>
        <v>196</v>
      </c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">
      <c r="A268" s="2">
        <f ca="1">IFERROR(__xludf.DUMMYFUNCTION("""COMPUTED_VALUE"""),264)</f>
        <v>264</v>
      </c>
      <c r="B268" s="2"/>
      <c r="C268" s="2"/>
      <c r="D268" s="2" t="str">
        <f ca="1">IFERROR(__xludf.DUMMYFUNCTION("""COMPUTED_VALUE"""),"")</f>
        <v/>
      </c>
      <c r="E268" s="2"/>
      <c r="F268" s="2" t="str">
        <f ca="1">IFERROR(__xludf.DUMMYFUNCTION("""COMPUTED_VALUE"""),"")</f>
        <v/>
      </c>
      <c r="G268" s="2">
        <f ca="1">IFERROR(__xludf.DUMMYFUNCTION("""COMPUTED_VALUE"""),0)</f>
        <v>0</v>
      </c>
      <c r="H268" s="2">
        <f ca="1">IFERROR(__xludf.DUMMYFUNCTION("""COMPUTED_VALUE"""),196)</f>
        <v>196</v>
      </c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">
      <c r="A269" s="2">
        <f ca="1">IFERROR(__xludf.DUMMYFUNCTION("""COMPUTED_VALUE"""),265)</f>
        <v>265</v>
      </c>
      <c r="B269" s="2"/>
      <c r="C269" s="2"/>
      <c r="D269" s="2" t="str">
        <f ca="1">IFERROR(__xludf.DUMMYFUNCTION("""COMPUTED_VALUE"""),"")</f>
        <v/>
      </c>
      <c r="E269" s="2"/>
      <c r="F269" s="2" t="str">
        <f ca="1">IFERROR(__xludf.DUMMYFUNCTION("""COMPUTED_VALUE"""),"")</f>
        <v/>
      </c>
      <c r="G269" s="2">
        <f ca="1">IFERROR(__xludf.DUMMYFUNCTION("""COMPUTED_VALUE"""),0)</f>
        <v>0</v>
      </c>
      <c r="H269" s="2">
        <f ca="1">IFERROR(__xludf.DUMMYFUNCTION("""COMPUTED_VALUE"""),196)</f>
        <v>196</v>
      </c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">
      <c r="A270" s="2">
        <f ca="1">IFERROR(__xludf.DUMMYFUNCTION("""COMPUTED_VALUE"""),266)</f>
        <v>266</v>
      </c>
      <c r="B270" s="2"/>
      <c r="C270" s="2"/>
      <c r="D270" s="2" t="str">
        <f ca="1">IFERROR(__xludf.DUMMYFUNCTION("""COMPUTED_VALUE"""),"")</f>
        <v/>
      </c>
      <c r="E270" s="2"/>
      <c r="F270" s="2" t="str">
        <f ca="1">IFERROR(__xludf.DUMMYFUNCTION("""COMPUTED_VALUE"""),"")</f>
        <v/>
      </c>
      <c r="G270" s="2">
        <f ca="1">IFERROR(__xludf.DUMMYFUNCTION("""COMPUTED_VALUE"""),0)</f>
        <v>0</v>
      </c>
      <c r="H270" s="2">
        <f ca="1">IFERROR(__xludf.DUMMYFUNCTION("""COMPUTED_VALUE"""),196)</f>
        <v>196</v>
      </c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">
      <c r="A271" s="2">
        <f ca="1">IFERROR(__xludf.DUMMYFUNCTION("""COMPUTED_VALUE"""),267)</f>
        <v>267</v>
      </c>
      <c r="B271" s="2"/>
      <c r="C271" s="2"/>
      <c r="D271" s="2" t="str">
        <f ca="1">IFERROR(__xludf.DUMMYFUNCTION("""COMPUTED_VALUE"""),"")</f>
        <v/>
      </c>
      <c r="E271" s="2"/>
      <c r="F271" s="2" t="str">
        <f ca="1">IFERROR(__xludf.DUMMYFUNCTION("""COMPUTED_VALUE"""),"")</f>
        <v/>
      </c>
      <c r="G271" s="2">
        <f ca="1">IFERROR(__xludf.DUMMYFUNCTION("""COMPUTED_VALUE"""),0)</f>
        <v>0</v>
      </c>
      <c r="H271" s="2">
        <f ca="1">IFERROR(__xludf.DUMMYFUNCTION("""COMPUTED_VALUE"""),196)</f>
        <v>196</v>
      </c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">
      <c r="A272" s="2">
        <f ca="1">IFERROR(__xludf.DUMMYFUNCTION("""COMPUTED_VALUE"""),268)</f>
        <v>268</v>
      </c>
      <c r="B272" s="2"/>
      <c r="C272" s="2"/>
      <c r="D272" s="2" t="str">
        <f ca="1">IFERROR(__xludf.DUMMYFUNCTION("""COMPUTED_VALUE"""),"")</f>
        <v/>
      </c>
      <c r="E272" s="2"/>
      <c r="F272" s="2" t="str">
        <f ca="1">IFERROR(__xludf.DUMMYFUNCTION("""COMPUTED_VALUE"""),"")</f>
        <v/>
      </c>
      <c r="G272" s="2">
        <f ca="1">IFERROR(__xludf.DUMMYFUNCTION("""COMPUTED_VALUE"""),0)</f>
        <v>0</v>
      </c>
      <c r="H272" s="2">
        <f ca="1">IFERROR(__xludf.DUMMYFUNCTION("""COMPUTED_VALUE"""),196)</f>
        <v>196</v>
      </c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">
      <c r="A273" s="2">
        <f ca="1">IFERROR(__xludf.DUMMYFUNCTION("""COMPUTED_VALUE"""),269)</f>
        <v>269</v>
      </c>
      <c r="B273" s="2"/>
      <c r="C273" s="2"/>
      <c r="D273" s="2" t="str">
        <f ca="1">IFERROR(__xludf.DUMMYFUNCTION("""COMPUTED_VALUE"""),"")</f>
        <v/>
      </c>
      <c r="E273" s="2"/>
      <c r="F273" s="2" t="str">
        <f ca="1">IFERROR(__xludf.DUMMYFUNCTION("""COMPUTED_VALUE"""),"")</f>
        <v/>
      </c>
      <c r="G273" s="2">
        <f ca="1">IFERROR(__xludf.DUMMYFUNCTION("""COMPUTED_VALUE"""),0)</f>
        <v>0</v>
      </c>
      <c r="H273" s="2">
        <f ca="1">IFERROR(__xludf.DUMMYFUNCTION("""COMPUTED_VALUE"""),196)</f>
        <v>196</v>
      </c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">
      <c r="A274" s="2">
        <f ca="1">IFERROR(__xludf.DUMMYFUNCTION("""COMPUTED_VALUE"""),270)</f>
        <v>270</v>
      </c>
      <c r="B274" s="2"/>
      <c r="C274" s="2"/>
      <c r="D274" s="2" t="str">
        <f ca="1">IFERROR(__xludf.DUMMYFUNCTION("""COMPUTED_VALUE"""),"")</f>
        <v/>
      </c>
      <c r="E274" s="2"/>
      <c r="F274" s="2" t="str">
        <f ca="1">IFERROR(__xludf.DUMMYFUNCTION("""COMPUTED_VALUE"""),"")</f>
        <v/>
      </c>
      <c r="G274" s="2">
        <f ca="1">IFERROR(__xludf.DUMMYFUNCTION("""COMPUTED_VALUE"""),0)</f>
        <v>0</v>
      </c>
      <c r="H274" s="2">
        <f ca="1">IFERROR(__xludf.DUMMYFUNCTION("""COMPUTED_VALUE"""),196)</f>
        <v>196</v>
      </c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">
      <c r="A275" s="2">
        <f ca="1">IFERROR(__xludf.DUMMYFUNCTION("""COMPUTED_VALUE"""),271)</f>
        <v>271</v>
      </c>
      <c r="B275" s="2"/>
      <c r="C275" s="2"/>
      <c r="D275" s="2" t="str">
        <f ca="1">IFERROR(__xludf.DUMMYFUNCTION("""COMPUTED_VALUE"""),"")</f>
        <v/>
      </c>
      <c r="E275" s="2"/>
      <c r="F275" s="2" t="str">
        <f ca="1">IFERROR(__xludf.DUMMYFUNCTION("""COMPUTED_VALUE"""),"")</f>
        <v/>
      </c>
      <c r="G275" s="2">
        <f ca="1">IFERROR(__xludf.DUMMYFUNCTION("""COMPUTED_VALUE"""),0)</f>
        <v>0</v>
      </c>
      <c r="H275" s="2">
        <f ca="1">IFERROR(__xludf.DUMMYFUNCTION("""COMPUTED_VALUE"""),196)</f>
        <v>196</v>
      </c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">
      <c r="A276" s="2">
        <f ca="1">IFERROR(__xludf.DUMMYFUNCTION("""COMPUTED_VALUE"""),272)</f>
        <v>272</v>
      </c>
      <c r="B276" s="2"/>
      <c r="C276" s="2"/>
      <c r="D276" s="2" t="str">
        <f ca="1">IFERROR(__xludf.DUMMYFUNCTION("""COMPUTED_VALUE"""),"")</f>
        <v/>
      </c>
      <c r="E276" s="2"/>
      <c r="F276" s="2" t="str">
        <f ca="1">IFERROR(__xludf.DUMMYFUNCTION("""COMPUTED_VALUE"""),"")</f>
        <v/>
      </c>
      <c r="G276" s="2">
        <f ca="1">IFERROR(__xludf.DUMMYFUNCTION("""COMPUTED_VALUE"""),0)</f>
        <v>0</v>
      </c>
      <c r="H276" s="2">
        <f ca="1">IFERROR(__xludf.DUMMYFUNCTION("""COMPUTED_VALUE"""),196)</f>
        <v>196</v>
      </c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">
      <c r="A277" s="2">
        <f ca="1">IFERROR(__xludf.DUMMYFUNCTION("""COMPUTED_VALUE"""),273)</f>
        <v>273</v>
      </c>
      <c r="B277" s="2"/>
      <c r="C277" s="2"/>
      <c r="D277" s="2" t="str">
        <f ca="1">IFERROR(__xludf.DUMMYFUNCTION("""COMPUTED_VALUE"""),"")</f>
        <v/>
      </c>
      <c r="E277" s="2"/>
      <c r="F277" s="2" t="str">
        <f ca="1">IFERROR(__xludf.DUMMYFUNCTION("""COMPUTED_VALUE"""),"")</f>
        <v/>
      </c>
      <c r="G277" s="2">
        <f ca="1">IFERROR(__xludf.DUMMYFUNCTION("""COMPUTED_VALUE"""),0)</f>
        <v>0</v>
      </c>
      <c r="H277" s="2">
        <f ca="1">IFERROR(__xludf.DUMMYFUNCTION("""COMPUTED_VALUE"""),196)</f>
        <v>196</v>
      </c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">
      <c r="A278" s="2">
        <f ca="1">IFERROR(__xludf.DUMMYFUNCTION("""COMPUTED_VALUE"""),274)</f>
        <v>274</v>
      </c>
      <c r="B278" s="2"/>
      <c r="C278" s="2"/>
      <c r="D278" s="2" t="str">
        <f ca="1">IFERROR(__xludf.DUMMYFUNCTION("""COMPUTED_VALUE"""),"")</f>
        <v/>
      </c>
      <c r="E278" s="2"/>
      <c r="F278" s="2" t="str">
        <f ca="1">IFERROR(__xludf.DUMMYFUNCTION("""COMPUTED_VALUE"""),"")</f>
        <v/>
      </c>
      <c r="G278" s="2">
        <f ca="1">IFERROR(__xludf.DUMMYFUNCTION("""COMPUTED_VALUE"""),0)</f>
        <v>0</v>
      </c>
      <c r="H278" s="2">
        <f ca="1">IFERROR(__xludf.DUMMYFUNCTION("""COMPUTED_VALUE"""),196)</f>
        <v>196</v>
      </c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">
      <c r="A279" s="2">
        <f ca="1">IFERROR(__xludf.DUMMYFUNCTION("""COMPUTED_VALUE"""),275)</f>
        <v>275</v>
      </c>
      <c r="B279" s="2"/>
      <c r="C279" s="2"/>
      <c r="D279" s="2" t="str">
        <f ca="1">IFERROR(__xludf.DUMMYFUNCTION("""COMPUTED_VALUE"""),"")</f>
        <v/>
      </c>
      <c r="E279" s="2"/>
      <c r="F279" s="2" t="str">
        <f ca="1">IFERROR(__xludf.DUMMYFUNCTION("""COMPUTED_VALUE"""),"")</f>
        <v/>
      </c>
      <c r="G279" s="2">
        <f ca="1">IFERROR(__xludf.DUMMYFUNCTION("""COMPUTED_VALUE"""),0)</f>
        <v>0</v>
      </c>
      <c r="H279" s="2">
        <f ca="1">IFERROR(__xludf.DUMMYFUNCTION("""COMPUTED_VALUE"""),196)</f>
        <v>196</v>
      </c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">
      <c r="A280" s="2">
        <f ca="1">IFERROR(__xludf.DUMMYFUNCTION("""COMPUTED_VALUE"""),276)</f>
        <v>276</v>
      </c>
      <c r="B280" s="2"/>
      <c r="C280" s="2"/>
      <c r="D280" s="2" t="str">
        <f ca="1">IFERROR(__xludf.DUMMYFUNCTION("""COMPUTED_VALUE"""),"")</f>
        <v/>
      </c>
      <c r="E280" s="2"/>
      <c r="F280" s="2" t="str">
        <f ca="1">IFERROR(__xludf.DUMMYFUNCTION("""COMPUTED_VALUE"""),"")</f>
        <v/>
      </c>
      <c r="G280" s="2">
        <f ca="1">IFERROR(__xludf.DUMMYFUNCTION("""COMPUTED_VALUE"""),0)</f>
        <v>0</v>
      </c>
      <c r="H280" s="2">
        <f ca="1">IFERROR(__xludf.DUMMYFUNCTION("""COMPUTED_VALUE"""),196)</f>
        <v>196</v>
      </c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">
      <c r="A281" s="2">
        <f ca="1">IFERROR(__xludf.DUMMYFUNCTION("""COMPUTED_VALUE"""),277)</f>
        <v>277</v>
      </c>
      <c r="B281" s="2"/>
      <c r="C281" s="2"/>
      <c r="D281" s="2" t="str">
        <f ca="1">IFERROR(__xludf.DUMMYFUNCTION("""COMPUTED_VALUE"""),"")</f>
        <v/>
      </c>
      <c r="E281" s="2"/>
      <c r="F281" s="2" t="str">
        <f ca="1">IFERROR(__xludf.DUMMYFUNCTION("""COMPUTED_VALUE"""),"")</f>
        <v/>
      </c>
      <c r="G281" s="2">
        <f ca="1">IFERROR(__xludf.DUMMYFUNCTION("""COMPUTED_VALUE"""),0)</f>
        <v>0</v>
      </c>
      <c r="H281" s="2">
        <f ca="1">IFERROR(__xludf.DUMMYFUNCTION("""COMPUTED_VALUE"""),196)</f>
        <v>196</v>
      </c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">
      <c r="A282" s="2">
        <f ca="1">IFERROR(__xludf.DUMMYFUNCTION("""COMPUTED_VALUE"""),278)</f>
        <v>278</v>
      </c>
      <c r="B282" s="2"/>
      <c r="C282" s="2"/>
      <c r="D282" s="2" t="str">
        <f ca="1">IFERROR(__xludf.DUMMYFUNCTION("""COMPUTED_VALUE"""),"")</f>
        <v/>
      </c>
      <c r="E282" s="2"/>
      <c r="F282" s="2" t="str">
        <f ca="1">IFERROR(__xludf.DUMMYFUNCTION("""COMPUTED_VALUE"""),"")</f>
        <v/>
      </c>
      <c r="G282" s="2">
        <f ca="1">IFERROR(__xludf.DUMMYFUNCTION("""COMPUTED_VALUE"""),0)</f>
        <v>0</v>
      </c>
      <c r="H282" s="2">
        <f ca="1">IFERROR(__xludf.DUMMYFUNCTION("""COMPUTED_VALUE"""),196)</f>
        <v>196</v>
      </c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">
      <c r="A283" s="2">
        <f ca="1">IFERROR(__xludf.DUMMYFUNCTION("""COMPUTED_VALUE"""),279)</f>
        <v>279</v>
      </c>
      <c r="B283" s="2"/>
      <c r="C283" s="2"/>
      <c r="D283" s="2" t="str">
        <f ca="1">IFERROR(__xludf.DUMMYFUNCTION("""COMPUTED_VALUE"""),"")</f>
        <v/>
      </c>
      <c r="E283" s="2"/>
      <c r="F283" s="2" t="str">
        <f ca="1">IFERROR(__xludf.DUMMYFUNCTION("""COMPUTED_VALUE"""),"")</f>
        <v/>
      </c>
      <c r="G283" s="2">
        <f ca="1">IFERROR(__xludf.DUMMYFUNCTION("""COMPUTED_VALUE"""),0)</f>
        <v>0</v>
      </c>
      <c r="H283" s="2">
        <f ca="1">IFERROR(__xludf.DUMMYFUNCTION("""COMPUTED_VALUE"""),196)</f>
        <v>196</v>
      </c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">
      <c r="A284" s="2">
        <f ca="1">IFERROR(__xludf.DUMMYFUNCTION("""COMPUTED_VALUE"""),280)</f>
        <v>280</v>
      </c>
      <c r="B284" s="2"/>
      <c r="C284" s="2"/>
      <c r="D284" s="2" t="str">
        <f ca="1">IFERROR(__xludf.DUMMYFUNCTION("""COMPUTED_VALUE"""),"")</f>
        <v/>
      </c>
      <c r="E284" s="2"/>
      <c r="F284" s="2" t="str">
        <f ca="1">IFERROR(__xludf.DUMMYFUNCTION("""COMPUTED_VALUE"""),"")</f>
        <v/>
      </c>
      <c r="G284" s="2">
        <f ca="1">IFERROR(__xludf.DUMMYFUNCTION("""COMPUTED_VALUE"""),0)</f>
        <v>0</v>
      </c>
      <c r="H284" s="2">
        <f ca="1">IFERROR(__xludf.DUMMYFUNCTION("""COMPUTED_VALUE"""),196)</f>
        <v>196</v>
      </c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8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8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 horizontalCentered="1" gridLines="1"/>
  <pageMargins left="0.7" right="0.7" top="0.75" bottom="0.75" header="0" footer="0"/>
  <pageSetup paperSize="9" fitToWidth="0" pageOrder="overThenDown" orientation="landscape" cellComments="atEnd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workbookViewId="0">
      <selection activeCell="I102" sqref="I102"/>
    </sheetView>
  </sheetViews>
  <sheetFormatPr defaultColWidth="9.140625" defaultRowHeight="12.75"/>
  <cols>
    <col min="1" max="1" width="4" style="5" bestFit="1" customWidth="1"/>
    <col min="2" max="2" width="13.140625" style="5" customWidth="1"/>
    <col min="3" max="3" width="16.42578125" style="5" customWidth="1"/>
    <col min="4" max="8" width="6.85546875" style="16" customWidth="1"/>
    <col min="9" max="9" width="9.140625" style="16"/>
    <col min="10" max="10" width="11.42578125" style="5" bestFit="1" customWidth="1"/>
    <col min="11" max="16384" width="9.140625" style="5"/>
  </cols>
  <sheetData>
    <row r="1" spans="1:9" ht="13.5" thickBot="1">
      <c r="A1" s="6"/>
      <c r="B1" s="18" t="s">
        <v>378</v>
      </c>
      <c r="C1" s="6"/>
      <c r="D1" s="12"/>
      <c r="E1" s="12"/>
      <c r="F1" s="12"/>
      <c r="G1" s="12"/>
      <c r="H1" s="12"/>
    </row>
    <row r="2" spans="1:9" ht="13.5" thickBot="1">
      <c r="A2" s="9" t="s">
        <v>1</v>
      </c>
      <c r="B2" s="48" t="s">
        <v>30</v>
      </c>
      <c r="C2" s="48" t="s">
        <v>31</v>
      </c>
      <c r="D2" s="49">
        <v>1</v>
      </c>
      <c r="E2" s="49">
        <v>2</v>
      </c>
      <c r="F2" s="49">
        <v>3</v>
      </c>
      <c r="G2" s="49" t="s">
        <v>6</v>
      </c>
      <c r="H2" s="49" t="s">
        <v>7</v>
      </c>
      <c r="I2" s="38" t="s">
        <v>385</v>
      </c>
    </row>
    <row r="3" spans="1:9" ht="13.5" thickBot="1">
      <c r="A3" s="47">
        <v>91</v>
      </c>
      <c r="B3" s="53" t="s">
        <v>48</v>
      </c>
      <c r="C3" s="54" t="s">
        <v>227</v>
      </c>
      <c r="D3" s="55">
        <v>86</v>
      </c>
      <c r="E3" s="55">
        <v>89</v>
      </c>
      <c r="F3" s="55">
        <v>89</v>
      </c>
      <c r="G3" s="55">
        <v>264</v>
      </c>
      <c r="H3" s="56">
        <v>1</v>
      </c>
      <c r="I3" s="16" t="s">
        <v>386</v>
      </c>
    </row>
    <row r="4" spans="1:9" ht="13.5" thickBot="1">
      <c r="A4" s="47">
        <v>29</v>
      </c>
      <c r="B4" s="57" t="s">
        <v>247</v>
      </c>
      <c r="C4" s="19" t="s">
        <v>248</v>
      </c>
      <c r="D4" s="20">
        <v>83</v>
      </c>
      <c r="E4" s="20">
        <v>80</v>
      </c>
      <c r="F4" s="20">
        <v>90</v>
      </c>
      <c r="G4" s="20">
        <v>253</v>
      </c>
      <c r="H4" s="58">
        <v>2</v>
      </c>
      <c r="I4" s="16" t="s">
        <v>386</v>
      </c>
    </row>
    <row r="5" spans="1:9" ht="13.5" thickBot="1">
      <c r="A5" s="47">
        <v>14</v>
      </c>
      <c r="B5" s="59" t="s">
        <v>60</v>
      </c>
      <c r="C5" s="60" t="s">
        <v>61</v>
      </c>
      <c r="D5" s="61">
        <v>83</v>
      </c>
      <c r="E5" s="61">
        <v>85</v>
      </c>
      <c r="F5" s="61">
        <v>85</v>
      </c>
      <c r="G5" s="61">
        <v>253</v>
      </c>
      <c r="H5" s="62">
        <v>3</v>
      </c>
      <c r="I5" s="16" t="s">
        <v>386</v>
      </c>
    </row>
    <row r="6" spans="1:9" ht="13.5" thickBot="1">
      <c r="A6" s="8">
        <v>103</v>
      </c>
      <c r="B6" s="50" t="s">
        <v>70</v>
      </c>
      <c r="C6" s="50" t="s">
        <v>71</v>
      </c>
      <c r="D6" s="51">
        <v>83</v>
      </c>
      <c r="E6" s="51">
        <v>86</v>
      </c>
      <c r="F6" s="51">
        <v>82</v>
      </c>
      <c r="G6" s="51">
        <v>251</v>
      </c>
      <c r="H6" s="52">
        <v>4</v>
      </c>
      <c r="I6" s="16" t="s">
        <v>386</v>
      </c>
    </row>
    <row r="7" spans="1:9" ht="13.5" thickBot="1">
      <c r="A7" s="8">
        <v>101</v>
      </c>
      <c r="B7" s="6" t="s">
        <v>89</v>
      </c>
      <c r="C7" s="6" t="s">
        <v>90</v>
      </c>
      <c r="D7" s="12">
        <v>85</v>
      </c>
      <c r="E7" s="12">
        <v>83</v>
      </c>
      <c r="F7" s="12">
        <v>80</v>
      </c>
      <c r="G7" s="12">
        <v>248</v>
      </c>
      <c r="H7" s="12">
        <v>5</v>
      </c>
      <c r="I7" s="16" t="s">
        <v>386</v>
      </c>
    </row>
    <row r="8" spans="1:9" ht="13.5" thickBot="1">
      <c r="A8" s="8">
        <v>136</v>
      </c>
      <c r="B8" s="6" t="s">
        <v>165</v>
      </c>
      <c r="C8" s="6" t="s">
        <v>183</v>
      </c>
      <c r="D8" s="12">
        <v>81</v>
      </c>
      <c r="E8" s="12">
        <v>74</v>
      </c>
      <c r="F8" s="12">
        <v>87</v>
      </c>
      <c r="G8" s="12">
        <v>242</v>
      </c>
      <c r="H8" s="12">
        <v>6</v>
      </c>
      <c r="I8" s="16" t="s">
        <v>386</v>
      </c>
    </row>
    <row r="9" spans="1:9" ht="13.5" thickBot="1">
      <c r="A9" s="8">
        <v>138</v>
      </c>
      <c r="B9" s="6" t="s">
        <v>60</v>
      </c>
      <c r="C9" s="6" t="s">
        <v>344</v>
      </c>
      <c r="D9" s="12">
        <v>82</v>
      </c>
      <c r="E9" s="12">
        <v>76</v>
      </c>
      <c r="F9" s="12">
        <v>83</v>
      </c>
      <c r="G9" s="12">
        <v>241</v>
      </c>
      <c r="H9" s="14">
        <v>7</v>
      </c>
      <c r="I9" s="16" t="s">
        <v>386</v>
      </c>
    </row>
    <row r="10" spans="1:9" ht="13.5" thickBot="1">
      <c r="A10" s="8">
        <v>21</v>
      </c>
      <c r="B10" s="6" t="s">
        <v>245</v>
      </c>
      <c r="C10" s="6" t="s">
        <v>246</v>
      </c>
      <c r="D10" s="12">
        <v>85</v>
      </c>
      <c r="E10" s="12">
        <v>79</v>
      </c>
      <c r="F10" s="12">
        <v>76</v>
      </c>
      <c r="G10" s="12">
        <v>240</v>
      </c>
      <c r="H10" s="12">
        <v>8</v>
      </c>
      <c r="I10" s="16" t="s">
        <v>386</v>
      </c>
    </row>
    <row r="11" spans="1:9" ht="13.5" thickBot="1">
      <c r="A11" s="8">
        <v>107</v>
      </c>
      <c r="B11" s="6" t="s">
        <v>106</v>
      </c>
      <c r="C11" s="6" t="s">
        <v>107</v>
      </c>
      <c r="D11" s="12">
        <v>74</v>
      </c>
      <c r="E11" s="12">
        <v>80</v>
      </c>
      <c r="F11" s="12">
        <v>85</v>
      </c>
      <c r="G11" s="12">
        <v>239</v>
      </c>
      <c r="H11" s="12">
        <v>9</v>
      </c>
      <c r="I11" s="16" t="s">
        <v>386</v>
      </c>
    </row>
    <row r="12" spans="1:9" ht="13.5" thickBot="1">
      <c r="A12" s="8">
        <v>25</v>
      </c>
      <c r="B12" s="6" t="s">
        <v>34</v>
      </c>
      <c r="C12" s="6" t="s">
        <v>103</v>
      </c>
      <c r="D12" s="12">
        <v>76</v>
      </c>
      <c r="E12" s="12">
        <v>80</v>
      </c>
      <c r="F12" s="12">
        <v>82</v>
      </c>
      <c r="G12" s="12">
        <v>238</v>
      </c>
      <c r="H12" s="14">
        <v>10</v>
      </c>
      <c r="I12" s="16" t="s">
        <v>386</v>
      </c>
    </row>
    <row r="13" spans="1:9" ht="13.5" thickBot="1">
      <c r="A13" s="8">
        <v>17</v>
      </c>
      <c r="B13" s="6" t="s">
        <v>108</v>
      </c>
      <c r="C13" s="6" t="s">
        <v>109</v>
      </c>
      <c r="D13" s="12">
        <v>84</v>
      </c>
      <c r="E13" s="12">
        <v>82</v>
      </c>
      <c r="F13" s="12">
        <v>71</v>
      </c>
      <c r="G13" s="12">
        <v>237</v>
      </c>
      <c r="H13" s="12">
        <v>11</v>
      </c>
      <c r="I13" s="16" t="s">
        <v>388</v>
      </c>
    </row>
    <row r="14" spans="1:9" ht="13.5" thickBot="1">
      <c r="A14" s="8">
        <v>50</v>
      </c>
      <c r="B14" s="6" t="s">
        <v>78</v>
      </c>
      <c r="C14" s="6" t="s">
        <v>79</v>
      </c>
      <c r="D14" s="12">
        <v>76</v>
      </c>
      <c r="E14" s="12">
        <v>82</v>
      </c>
      <c r="F14" s="12">
        <v>78</v>
      </c>
      <c r="G14" s="12">
        <v>236</v>
      </c>
      <c r="H14" s="12">
        <v>12</v>
      </c>
      <c r="I14" s="16" t="s">
        <v>388</v>
      </c>
    </row>
    <row r="15" spans="1:9" ht="13.5" thickBot="1">
      <c r="A15" s="8">
        <v>120</v>
      </c>
      <c r="B15" s="6" t="s">
        <v>181</v>
      </c>
      <c r="C15" s="6" t="s">
        <v>182</v>
      </c>
      <c r="D15" s="12">
        <v>79</v>
      </c>
      <c r="E15" s="12">
        <v>71</v>
      </c>
      <c r="F15" s="12">
        <v>85</v>
      </c>
      <c r="G15" s="12">
        <v>235</v>
      </c>
      <c r="H15" s="14">
        <v>13</v>
      </c>
      <c r="I15" s="16" t="s">
        <v>388</v>
      </c>
    </row>
    <row r="16" spans="1:9" ht="13.5" thickBot="1">
      <c r="A16" s="8">
        <v>73</v>
      </c>
      <c r="B16" s="6" t="s">
        <v>95</v>
      </c>
      <c r="C16" s="6" t="s">
        <v>96</v>
      </c>
      <c r="D16" s="12">
        <v>75</v>
      </c>
      <c r="E16" s="12">
        <v>76</v>
      </c>
      <c r="F16" s="12">
        <v>83</v>
      </c>
      <c r="G16" s="12">
        <v>234</v>
      </c>
      <c r="H16" s="12">
        <v>14</v>
      </c>
      <c r="I16" s="16" t="s">
        <v>388</v>
      </c>
    </row>
    <row r="17" spans="1:12" ht="13.5" thickBot="1">
      <c r="A17" s="8">
        <v>12</v>
      </c>
      <c r="B17" s="6" t="s">
        <v>74</v>
      </c>
      <c r="C17" s="6" t="s">
        <v>75</v>
      </c>
      <c r="D17" s="12">
        <v>83</v>
      </c>
      <c r="E17" s="12">
        <v>70</v>
      </c>
      <c r="F17" s="12">
        <v>81</v>
      </c>
      <c r="G17" s="12">
        <v>234</v>
      </c>
      <c r="H17" s="12">
        <v>15</v>
      </c>
      <c r="I17" s="16" t="s">
        <v>388</v>
      </c>
    </row>
    <row r="18" spans="1:12" ht="13.5" thickBot="1">
      <c r="A18" s="8">
        <v>108</v>
      </c>
      <c r="B18" s="6" t="s">
        <v>318</v>
      </c>
      <c r="C18" s="6" t="s">
        <v>319</v>
      </c>
      <c r="D18" s="12">
        <v>75</v>
      </c>
      <c r="E18" s="12">
        <v>80</v>
      </c>
      <c r="F18" s="12">
        <v>79</v>
      </c>
      <c r="G18" s="12">
        <v>234</v>
      </c>
      <c r="H18" s="14">
        <v>16</v>
      </c>
      <c r="I18" s="16" t="s">
        <v>388</v>
      </c>
    </row>
    <row r="19" spans="1:12" ht="13.5" thickBot="1">
      <c r="A19" s="8">
        <v>11</v>
      </c>
      <c r="B19" s="6" t="s">
        <v>86</v>
      </c>
      <c r="C19" s="6" t="s">
        <v>87</v>
      </c>
      <c r="D19" s="12">
        <v>81</v>
      </c>
      <c r="E19" s="12">
        <v>74</v>
      </c>
      <c r="F19" s="12">
        <v>79</v>
      </c>
      <c r="G19" s="12">
        <v>234</v>
      </c>
      <c r="H19" s="12">
        <v>17</v>
      </c>
      <c r="I19" s="16" t="s">
        <v>388</v>
      </c>
    </row>
    <row r="20" spans="1:12" ht="13.5" thickBot="1">
      <c r="A20" s="8">
        <v>119</v>
      </c>
      <c r="B20" s="6" t="s">
        <v>331</v>
      </c>
      <c r="C20" s="6" t="s">
        <v>332</v>
      </c>
      <c r="D20" s="12">
        <v>70</v>
      </c>
      <c r="E20" s="12">
        <v>80</v>
      </c>
      <c r="F20" s="12">
        <v>82</v>
      </c>
      <c r="G20" s="12">
        <v>232</v>
      </c>
      <c r="H20" s="12">
        <v>18</v>
      </c>
      <c r="I20" s="16" t="s">
        <v>388</v>
      </c>
    </row>
    <row r="21" spans="1:12" ht="13.5" thickBot="1">
      <c r="A21" s="8">
        <v>28</v>
      </c>
      <c r="B21" s="6" t="s">
        <v>146</v>
      </c>
      <c r="C21" s="6" t="s">
        <v>147</v>
      </c>
      <c r="D21" s="12">
        <v>84</v>
      </c>
      <c r="E21" s="12">
        <v>68</v>
      </c>
      <c r="F21" s="12">
        <v>80</v>
      </c>
      <c r="G21" s="12">
        <v>232</v>
      </c>
      <c r="H21" s="14">
        <v>19</v>
      </c>
      <c r="I21" s="16" t="s">
        <v>388</v>
      </c>
    </row>
    <row r="22" spans="1:12" ht="13.5" thickBot="1">
      <c r="A22" s="8">
        <v>102</v>
      </c>
      <c r="B22" s="6" t="s">
        <v>52</v>
      </c>
      <c r="C22" s="6" t="s">
        <v>53</v>
      </c>
      <c r="D22" s="12">
        <v>80</v>
      </c>
      <c r="E22" s="12">
        <v>74</v>
      </c>
      <c r="F22" s="12">
        <v>78</v>
      </c>
      <c r="G22" s="12">
        <v>232</v>
      </c>
      <c r="H22" s="12">
        <v>20</v>
      </c>
      <c r="I22" s="16" t="s">
        <v>388</v>
      </c>
    </row>
    <row r="23" spans="1:12" ht="13.5" thickBot="1">
      <c r="A23" s="8">
        <v>62</v>
      </c>
      <c r="B23" s="6" t="s">
        <v>282</v>
      </c>
      <c r="C23" s="6" t="s">
        <v>283</v>
      </c>
      <c r="D23" s="12">
        <v>74</v>
      </c>
      <c r="E23" s="12">
        <v>83</v>
      </c>
      <c r="F23" s="12">
        <v>75</v>
      </c>
      <c r="G23" s="12">
        <v>232</v>
      </c>
      <c r="H23" s="12">
        <v>21</v>
      </c>
      <c r="I23" s="16" t="s">
        <v>388</v>
      </c>
    </row>
    <row r="24" spans="1:12" ht="13.5" thickBot="1">
      <c r="A24" s="8">
        <v>86</v>
      </c>
      <c r="B24" s="6" t="s">
        <v>304</v>
      </c>
      <c r="C24" s="6" t="s">
        <v>305</v>
      </c>
      <c r="D24" s="12">
        <v>75</v>
      </c>
      <c r="E24" s="12">
        <v>81</v>
      </c>
      <c r="F24" s="12">
        <v>75</v>
      </c>
      <c r="G24" s="12">
        <v>231</v>
      </c>
      <c r="H24" s="14">
        <v>22</v>
      </c>
      <c r="I24" s="16" t="s">
        <v>388</v>
      </c>
    </row>
    <row r="25" spans="1:12" ht="13.5" thickBot="1">
      <c r="A25" s="8">
        <v>97</v>
      </c>
      <c r="B25" s="6" t="s">
        <v>197</v>
      </c>
      <c r="C25" s="6" t="s">
        <v>198</v>
      </c>
      <c r="D25" s="12">
        <v>77</v>
      </c>
      <c r="E25" s="12">
        <v>73</v>
      </c>
      <c r="F25" s="12">
        <v>80</v>
      </c>
      <c r="G25" s="12">
        <v>230</v>
      </c>
      <c r="H25" s="12">
        <v>23</v>
      </c>
      <c r="I25" s="16" t="s">
        <v>388</v>
      </c>
    </row>
    <row r="26" spans="1:12" ht="13.5" thickBot="1">
      <c r="A26" s="8">
        <v>188</v>
      </c>
      <c r="B26" s="6" t="s">
        <v>233</v>
      </c>
      <c r="C26" s="6" t="s">
        <v>358</v>
      </c>
      <c r="D26" s="12">
        <v>80</v>
      </c>
      <c r="E26" s="12">
        <v>73</v>
      </c>
      <c r="F26" s="12">
        <v>77</v>
      </c>
      <c r="G26" s="12">
        <v>230</v>
      </c>
      <c r="H26" s="12">
        <v>24</v>
      </c>
      <c r="I26" s="16" t="s">
        <v>388</v>
      </c>
    </row>
    <row r="27" spans="1:12" ht="13.5" thickBot="1">
      <c r="A27" s="8">
        <v>149</v>
      </c>
      <c r="B27" s="6" t="s">
        <v>34</v>
      </c>
      <c r="C27" s="6" t="s">
        <v>150</v>
      </c>
      <c r="D27" s="12">
        <v>72</v>
      </c>
      <c r="E27" s="12">
        <v>74</v>
      </c>
      <c r="F27" s="12">
        <v>83</v>
      </c>
      <c r="G27" s="12">
        <v>229</v>
      </c>
      <c r="H27" s="14">
        <v>25</v>
      </c>
      <c r="I27" s="16" t="s">
        <v>388</v>
      </c>
    </row>
    <row r="28" spans="1:12" ht="13.5" thickBot="1">
      <c r="A28" s="8">
        <v>190</v>
      </c>
      <c r="B28" s="6" t="s">
        <v>60</v>
      </c>
      <c r="C28" s="6" t="s">
        <v>360</v>
      </c>
      <c r="D28" s="12">
        <v>74</v>
      </c>
      <c r="E28" s="12">
        <v>80</v>
      </c>
      <c r="F28" s="12">
        <v>74</v>
      </c>
      <c r="G28" s="12">
        <v>228</v>
      </c>
      <c r="H28" s="12">
        <v>26</v>
      </c>
      <c r="I28" s="16" t="s">
        <v>388</v>
      </c>
    </row>
    <row r="29" spans="1:12" ht="13.5" thickBot="1">
      <c r="A29" s="8">
        <v>27</v>
      </c>
      <c r="B29" s="6" t="s">
        <v>42</v>
      </c>
      <c r="C29" s="6" t="s">
        <v>43</v>
      </c>
      <c r="D29" s="12">
        <v>71</v>
      </c>
      <c r="E29" s="12">
        <v>74</v>
      </c>
      <c r="F29" s="12">
        <v>81</v>
      </c>
      <c r="G29" s="12">
        <v>226</v>
      </c>
      <c r="H29" s="12">
        <v>27</v>
      </c>
      <c r="I29" s="16" t="s">
        <v>388</v>
      </c>
    </row>
    <row r="30" spans="1:12" ht="13.5" thickBot="1">
      <c r="A30" s="8">
        <v>41</v>
      </c>
      <c r="B30" s="6" t="s">
        <v>264</v>
      </c>
      <c r="C30" s="6" t="s">
        <v>265</v>
      </c>
      <c r="D30" s="12">
        <v>73</v>
      </c>
      <c r="E30" s="12">
        <v>74</v>
      </c>
      <c r="F30" s="12">
        <v>79</v>
      </c>
      <c r="G30" s="12">
        <v>226</v>
      </c>
      <c r="H30" s="14">
        <v>28</v>
      </c>
      <c r="I30" s="16" t="s">
        <v>388</v>
      </c>
      <c r="J30" s="32" t="s">
        <v>387</v>
      </c>
      <c r="K30" s="46">
        <f>SUM(G3:G30)/28</f>
        <v>237.17857142857142</v>
      </c>
      <c r="L30" s="16" t="s">
        <v>388</v>
      </c>
    </row>
    <row r="31" spans="1:12" ht="13.5" thickBot="1">
      <c r="A31" s="8">
        <v>152</v>
      </c>
      <c r="B31" s="19" t="s">
        <v>60</v>
      </c>
      <c r="C31" s="19" t="s">
        <v>353</v>
      </c>
      <c r="D31" s="20">
        <v>72</v>
      </c>
      <c r="E31" s="20">
        <v>76</v>
      </c>
      <c r="F31" s="20">
        <v>77</v>
      </c>
      <c r="G31" s="20">
        <v>225</v>
      </c>
      <c r="H31" s="12">
        <v>29</v>
      </c>
      <c r="I31" s="16" t="s">
        <v>388</v>
      </c>
      <c r="J31" s="5" t="s">
        <v>379</v>
      </c>
      <c r="K31" s="32" t="s">
        <v>380</v>
      </c>
      <c r="L31" s="16"/>
    </row>
    <row r="32" spans="1:12" ht="13.5" thickBot="1">
      <c r="A32" s="8">
        <v>106</v>
      </c>
      <c r="B32" s="22" t="s">
        <v>38</v>
      </c>
      <c r="C32" s="22" t="s">
        <v>39</v>
      </c>
      <c r="D32" s="23">
        <v>69</v>
      </c>
      <c r="E32" s="23">
        <v>77</v>
      </c>
      <c r="F32" s="23">
        <v>77</v>
      </c>
      <c r="G32" s="23">
        <v>223</v>
      </c>
      <c r="H32" s="12">
        <v>30</v>
      </c>
      <c r="I32" s="16" t="s">
        <v>384</v>
      </c>
      <c r="K32" s="5" t="s">
        <v>381</v>
      </c>
      <c r="L32" s="16"/>
    </row>
    <row r="33" spans="1:12" ht="13.5" thickBot="1">
      <c r="A33" s="8">
        <v>185</v>
      </c>
      <c r="B33" s="24" t="s">
        <v>58</v>
      </c>
      <c r="C33" s="24" t="s">
        <v>59</v>
      </c>
      <c r="D33" s="25">
        <v>71</v>
      </c>
      <c r="E33" s="25">
        <v>75</v>
      </c>
      <c r="F33" s="25">
        <v>76</v>
      </c>
      <c r="G33" s="25">
        <v>222</v>
      </c>
      <c r="H33" s="14">
        <v>31</v>
      </c>
      <c r="I33" s="16" t="s">
        <v>384</v>
      </c>
      <c r="K33" s="5" t="s">
        <v>382</v>
      </c>
      <c r="L33" s="16"/>
    </row>
    <row r="34" spans="1:12" ht="13.5" thickBot="1">
      <c r="A34" s="8">
        <v>148</v>
      </c>
      <c r="B34" s="6" t="s">
        <v>65</v>
      </c>
      <c r="C34" s="6" t="s">
        <v>66</v>
      </c>
      <c r="D34" s="12">
        <v>69</v>
      </c>
      <c r="E34" s="12">
        <v>78</v>
      </c>
      <c r="F34" s="12">
        <v>74</v>
      </c>
      <c r="G34" s="12">
        <v>221</v>
      </c>
      <c r="H34" s="12">
        <v>32</v>
      </c>
      <c r="I34" s="16" t="s">
        <v>384</v>
      </c>
    </row>
    <row r="35" spans="1:12" ht="13.5" thickBot="1">
      <c r="A35" s="8">
        <v>207</v>
      </c>
      <c r="B35" s="6" t="s">
        <v>375</v>
      </c>
      <c r="C35" s="6" t="s">
        <v>376</v>
      </c>
      <c r="D35" s="12">
        <v>79</v>
      </c>
      <c r="E35" s="12">
        <v>73</v>
      </c>
      <c r="F35" s="12">
        <v>69</v>
      </c>
      <c r="G35" s="12">
        <v>221</v>
      </c>
      <c r="H35" s="12">
        <v>33</v>
      </c>
      <c r="I35" s="16" t="s">
        <v>384</v>
      </c>
    </row>
    <row r="36" spans="1:12" ht="13.5" thickBot="1">
      <c r="A36" s="8">
        <v>67</v>
      </c>
      <c r="B36" s="6" t="s">
        <v>99</v>
      </c>
      <c r="C36" s="6" t="s">
        <v>100</v>
      </c>
      <c r="D36" s="12">
        <v>76</v>
      </c>
      <c r="E36" s="12">
        <v>72</v>
      </c>
      <c r="F36" s="12">
        <v>71</v>
      </c>
      <c r="G36" s="12">
        <v>219</v>
      </c>
      <c r="H36" s="14">
        <v>34</v>
      </c>
      <c r="I36" s="16" t="s">
        <v>384</v>
      </c>
    </row>
    <row r="37" spans="1:12" ht="13.5" thickBot="1">
      <c r="A37" s="8">
        <v>199</v>
      </c>
      <c r="B37" s="6" t="s">
        <v>44</v>
      </c>
      <c r="C37" s="6" t="s">
        <v>274</v>
      </c>
      <c r="D37" s="12">
        <v>72</v>
      </c>
      <c r="E37" s="12">
        <v>81</v>
      </c>
      <c r="F37" s="12">
        <v>64</v>
      </c>
      <c r="G37" s="12">
        <v>217</v>
      </c>
      <c r="H37" s="12">
        <v>35</v>
      </c>
      <c r="I37" s="16" t="s">
        <v>384</v>
      </c>
    </row>
    <row r="38" spans="1:12" ht="13.5" thickBot="1">
      <c r="A38" s="8">
        <v>58</v>
      </c>
      <c r="B38" s="6" t="s">
        <v>136</v>
      </c>
      <c r="C38" s="6" t="s">
        <v>137</v>
      </c>
      <c r="D38" s="12">
        <v>73</v>
      </c>
      <c r="E38" s="12">
        <v>67</v>
      </c>
      <c r="F38" s="12">
        <v>76</v>
      </c>
      <c r="G38" s="12">
        <v>216</v>
      </c>
      <c r="H38" s="12">
        <v>36</v>
      </c>
      <c r="I38" s="16" t="s">
        <v>384</v>
      </c>
    </row>
    <row r="39" spans="1:12" ht="13.5" thickBot="1">
      <c r="A39" s="8">
        <v>19</v>
      </c>
      <c r="B39" s="6" t="s">
        <v>154</v>
      </c>
      <c r="C39" s="6" t="s">
        <v>109</v>
      </c>
      <c r="D39" s="12">
        <v>66</v>
      </c>
      <c r="E39" s="12">
        <v>76</v>
      </c>
      <c r="F39" s="12">
        <v>74</v>
      </c>
      <c r="G39" s="12">
        <v>216</v>
      </c>
      <c r="H39" s="14">
        <v>37</v>
      </c>
      <c r="I39" s="16" t="s">
        <v>384</v>
      </c>
    </row>
    <row r="40" spans="1:12" ht="13.5" thickBot="1">
      <c r="A40" s="8">
        <v>8</v>
      </c>
      <c r="B40" s="6" t="s">
        <v>193</v>
      </c>
      <c r="C40" s="6" t="s">
        <v>194</v>
      </c>
      <c r="D40" s="12">
        <v>69</v>
      </c>
      <c r="E40" s="12">
        <v>74</v>
      </c>
      <c r="F40" s="12">
        <v>72</v>
      </c>
      <c r="G40" s="12">
        <v>215</v>
      </c>
      <c r="H40" s="12">
        <v>38</v>
      </c>
      <c r="I40" s="16" t="s">
        <v>384</v>
      </c>
    </row>
    <row r="41" spans="1:12" ht="13.5" thickBot="1">
      <c r="A41" s="8">
        <v>124</v>
      </c>
      <c r="B41" s="6" t="s">
        <v>243</v>
      </c>
      <c r="C41" s="6" t="s">
        <v>335</v>
      </c>
      <c r="D41" s="12">
        <v>76</v>
      </c>
      <c r="E41" s="12">
        <v>67</v>
      </c>
      <c r="F41" s="12">
        <v>71</v>
      </c>
      <c r="G41" s="12">
        <v>214</v>
      </c>
      <c r="H41" s="12">
        <v>39</v>
      </c>
      <c r="I41" s="16" t="s">
        <v>384</v>
      </c>
    </row>
    <row r="42" spans="1:12" ht="13.5" thickBot="1">
      <c r="A42" s="8">
        <v>92</v>
      </c>
      <c r="B42" s="6" t="s">
        <v>211</v>
      </c>
      <c r="C42" s="6" t="s">
        <v>212</v>
      </c>
      <c r="D42" s="12">
        <v>70</v>
      </c>
      <c r="E42" s="12">
        <v>75</v>
      </c>
      <c r="F42" s="12">
        <v>69</v>
      </c>
      <c r="G42" s="12">
        <v>214</v>
      </c>
      <c r="H42" s="14">
        <v>40</v>
      </c>
      <c r="I42" s="16" t="s">
        <v>384</v>
      </c>
    </row>
    <row r="43" spans="1:12" ht="13.5" thickBot="1">
      <c r="A43" s="8">
        <v>36</v>
      </c>
      <c r="B43" s="6" t="s">
        <v>91</v>
      </c>
      <c r="C43" s="6" t="s">
        <v>92</v>
      </c>
      <c r="D43" s="12">
        <v>72</v>
      </c>
      <c r="E43" s="12">
        <v>78</v>
      </c>
      <c r="F43" s="12">
        <v>64</v>
      </c>
      <c r="G43" s="12">
        <v>214</v>
      </c>
      <c r="H43" s="12">
        <v>41</v>
      </c>
      <c r="I43" s="16" t="s">
        <v>384</v>
      </c>
    </row>
    <row r="44" spans="1:12" ht="13.5" thickBot="1">
      <c r="A44" s="8">
        <v>144</v>
      </c>
      <c r="B44" s="6" t="s">
        <v>64</v>
      </c>
      <c r="C44" s="6" t="s">
        <v>49</v>
      </c>
      <c r="D44" s="12">
        <v>64</v>
      </c>
      <c r="E44" s="12">
        <v>76</v>
      </c>
      <c r="F44" s="12">
        <v>71</v>
      </c>
      <c r="G44" s="12">
        <v>211</v>
      </c>
      <c r="H44" s="12">
        <v>42</v>
      </c>
      <c r="I44" s="16" t="s">
        <v>384</v>
      </c>
    </row>
    <row r="45" spans="1:12" ht="26.25" thickBot="1">
      <c r="A45" s="8">
        <v>191</v>
      </c>
      <c r="B45" s="6" t="s">
        <v>361</v>
      </c>
      <c r="C45" s="6" t="s">
        <v>362</v>
      </c>
      <c r="D45" s="12">
        <v>70</v>
      </c>
      <c r="E45" s="12">
        <v>69</v>
      </c>
      <c r="F45" s="12">
        <v>71</v>
      </c>
      <c r="G45" s="12">
        <v>210</v>
      </c>
      <c r="H45" s="14">
        <v>43</v>
      </c>
      <c r="I45" s="16" t="s">
        <v>384</v>
      </c>
    </row>
    <row r="46" spans="1:12" ht="13.5" thickBot="1">
      <c r="A46" s="8">
        <v>100</v>
      </c>
      <c r="B46" s="6" t="s">
        <v>110</v>
      </c>
      <c r="C46" s="6" t="s">
        <v>107</v>
      </c>
      <c r="D46" s="12">
        <v>77</v>
      </c>
      <c r="E46" s="12">
        <v>64</v>
      </c>
      <c r="F46" s="12">
        <v>69</v>
      </c>
      <c r="G46" s="12">
        <v>210</v>
      </c>
      <c r="H46" s="12">
        <v>44</v>
      </c>
      <c r="I46" s="16" t="s">
        <v>384</v>
      </c>
    </row>
    <row r="47" spans="1:12" ht="13.5" thickBot="1">
      <c r="A47" s="8">
        <v>121</v>
      </c>
      <c r="B47" s="6" t="s">
        <v>140</v>
      </c>
      <c r="C47" s="6" t="s">
        <v>333</v>
      </c>
      <c r="D47" s="12">
        <v>69</v>
      </c>
      <c r="E47" s="12">
        <v>74</v>
      </c>
      <c r="F47" s="12">
        <v>67</v>
      </c>
      <c r="G47" s="12">
        <v>210</v>
      </c>
      <c r="H47" s="12">
        <v>45</v>
      </c>
      <c r="I47" s="16" t="s">
        <v>384</v>
      </c>
    </row>
    <row r="48" spans="1:12" ht="13.5" thickBot="1">
      <c r="A48" s="8">
        <v>68</v>
      </c>
      <c r="B48" s="6" t="s">
        <v>217</v>
      </c>
      <c r="C48" s="6" t="s">
        <v>218</v>
      </c>
      <c r="D48" s="12">
        <v>74</v>
      </c>
      <c r="E48" s="12">
        <v>69</v>
      </c>
      <c r="F48" s="12">
        <v>67</v>
      </c>
      <c r="G48" s="12">
        <v>210</v>
      </c>
      <c r="H48" s="14">
        <v>46</v>
      </c>
      <c r="I48" s="16" t="s">
        <v>384</v>
      </c>
    </row>
    <row r="49" spans="1:9" ht="13.5" thickBot="1">
      <c r="A49" s="8">
        <v>24</v>
      </c>
      <c r="B49" s="6" t="s">
        <v>36</v>
      </c>
      <c r="C49" s="6" t="s">
        <v>37</v>
      </c>
      <c r="D49" s="12">
        <v>69</v>
      </c>
      <c r="E49" s="12">
        <v>77</v>
      </c>
      <c r="F49" s="12">
        <v>63</v>
      </c>
      <c r="G49" s="12">
        <v>209</v>
      </c>
      <c r="H49" s="12">
        <v>47</v>
      </c>
      <c r="I49" s="16" t="s">
        <v>384</v>
      </c>
    </row>
    <row r="50" spans="1:9" ht="13.5" thickBot="1">
      <c r="A50" s="8">
        <v>131</v>
      </c>
      <c r="B50" s="6" t="s">
        <v>165</v>
      </c>
      <c r="C50" s="6" t="s">
        <v>192</v>
      </c>
      <c r="D50" s="12">
        <v>73</v>
      </c>
      <c r="E50" s="12">
        <v>60</v>
      </c>
      <c r="F50" s="12">
        <v>74</v>
      </c>
      <c r="G50" s="12">
        <v>207</v>
      </c>
      <c r="H50" s="12">
        <v>48</v>
      </c>
      <c r="I50" s="16" t="s">
        <v>384</v>
      </c>
    </row>
    <row r="51" spans="1:9" ht="13.5" thickBot="1">
      <c r="A51" s="8">
        <v>197</v>
      </c>
      <c r="B51" s="6" t="s">
        <v>38</v>
      </c>
      <c r="C51" s="6" t="s">
        <v>370</v>
      </c>
      <c r="D51" s="12">
        <v>64</v>
      </c>
      <c r="E51" s="12">
        <v>70</v>
      </c>
      <c r="F51" s="12">
        <v>73</v>
      </c>
      <c r="G51" s="12">
        <v>207</v>
      </c>
      <c r="H51" s="14">
        <v>49</v>
      </c>
      <c r="I51" s="16" t="s">
        <v>384</v>
      </c>
    </row>
    <row r="52" spans="1:9" ht="13.5" thickBot="1">
      <c r="A52" s="8">
        <v>142</v>
      </c>
      <c r="B52" s="6" t="s">
        <v>48</v>
      </c>
      <c r="C52" s="6" t="s">
        <v>49</v>
      </c>
      <c r="D52" s="12">
        <v>72</v>
      </c>
      <c r="E52" s="12">
        <v>70</v>
      </c>
      <c r="F52" s="12">
        <v>61</v>
      </c>
      <c r="G52" s="12">
        <v>203</v>
      </c>
      <c r="H52" s="12">
        <v>50</v>
      </c>
      <c r="I52" s="16" t="s">
        <v>389</v>
      </c>
    </row>
    <row r="53" spans="1:9" ht="13.5" thickBot="1">
      <c r="A53" s="8">
        <v>132</v>
      </c>
      <c r="B53" s="6" t="s">
        <v>42</v>
      </c>
      <c r="C53" s="6" t="s">
        <v>339</v>
      </c>
      <c r="D53" s="12">
        <v>69</v>
      </c>
      <c r="E53" s="12">
        <v>58</v>
      </c>
      <c r="F53" s="12">
        <v>75</v>
      </c>
      <c r="G53" s="12">
        <v>202</v>
      </c>
      <c r="H53" s="12">
        <v>51</v>
      </c>
      <c r="I53" s="16" t="s">
        <v>389</v>
      </c>
    </row>
    <row r="54" spans="1:9" ht="13.5" thickBot="1">
      <c r="A54" s="8">
        <v>98</v>
      </c>
      <c r="B54" s="6" t="s">
        <v>112</v>
      </c>
      <c r="C54" s="6" t="s">
        <v>313</v>
      </c>
      <c r="D54" s="12">
        <v>66</v>
      </c>
      <c r="E54" s="12">
        <v>58</v>
      </c>
      <c r="F54" s="12">
        <v>77</v>
      </c>
      <c r="G54" s="12">
        <v>201</v>
      </c>
      <c r="H54" s="14">
        <v>52</v>
      </c>
      <c r="I54" s="16" t="s">
        <v>389</v>
      </c>
    </row>
    <row r="55" spans="1:9" ht="13.5" thickBot="1">
      <c r="A55" s="8">
        <v>94</v>
      </c>
      <c r="B55" s="6" t="s">
        <v>142</v>
      </c>
      <c r="C55" s="6" t="s">
        <v>310</v>
      </c>
      <c r="D55" s="12">
        <v>62</v>
      </c>
      <c r="E55" s="12">
        <v>67</v>
      </c>
      <c r="F55" s="12">
        <v>72</v>
      </c>
      <c r="G55" s="12">
        <v>201</v>
      </c>
      <c r="H55" s="12">
        <v>53</v>
      </c>
      <c r="I55" s="16" t="s">
        <v>389</v>
      </c>
    </row>
    <row r="56" spans="1:9" ht="13.5" thickBot="1">
      <c r="A56" s="8">
        <v>30</v>
      </c>
      <c r="B56" s="6" t="s">
        <v>68</v>
      </c>
      <c r="C56" s="6" t="s">
        <v>249</v>
      </c>
      <c r="D56" s="12">
        <v>62</v>
      </c>
      <c r="E56" s="12">
        <v>73</v>
      </c>
      <c r="F56" s="12">
        <v>66</v>
      </c>
      <c r="G56" s="12">
        <v>201</v>
      </c>
      <c r="H56" s="12">
        <v>54</v>
      </c>
      <c r="I56" s="16" t="s">
        <v>389</v>
      </c>
    </row>
    <row r="57" spans="1:9" ht="13.5" thickBot="1">
      <c r="A57" s="8">
        <v>141</v>
      </c>
      <c r="B57" s="6" t="s">
        <v>56</v>
      </c>
      <c r="C57" s="6" t="s">
        <v>57</v>
      </c>
      <c r="D57" s="12">
        <v>69</v>
      </c>
      <c r="E57" s="12">
        <v>63</v>
      </c>
      <c r="F57" s="12">
        <v>68</v>
      </c>
      <c r="G57" s="12">
        <v>200</v>
      </c>
      <c r="H57" s="14">
        <v>55</v>
      </c>
      <c r="I57" s="16" t="s">
        <v>389</v>
      </c>
    </row>
    <row r="58" spans="1:9" ht="13.5" thickBot="1">
      <c r="A58" s="8">
        <v>77</v>
      </c>
      <c r="B58" s="6" t="s">
        <v>294</v>
      </c>
      <c r="C58" s="6" t="s">
        <v>141</v>
      </c>
      <c r="D58" s="12">
        <v>71</v>
      </c>
      <c r="E58" s="12">
        <v>80</v>
      </c>
      <c r="F58" s="12">
        <v>49</v>
      </c>
      <c r="G58" s="12">
        <v>200</v>
      </c>
      <c r="H58" s="12">
        <v>56</v>
      </c>
      <c r="I58" s="16" t="s">
        <v>389</v>
      </c>
    </row>
    <row r="59" spans="1:9" ht="13.5" thickBot="1">
      <c r="A59" s="8">
        <v>187</v>
      </c>
      <c r="B59" s="6" t="s">
        <v>162</v>
      </c>
      <c r="C59" s="6" t="s">
        <v>357</v>
      </c>
      <c r="D59" s="12">
        <v>70</v>
      </c>
      <c r="E59" s="12">
        <v>57</v>
      </c>
      <c r="F59" s="12">
        <v>72</v>
      </c>
      <c r="G59" s="12">
        <v>199</v>
      </c>
      <c r="H59" s="12">
        <v>57</v>
      </c>
      <c r="I59" s="16" t="s">
        <v>389</v>
      </c>
    </row>
    <row r="60" spans="1:9" ht="13.5" thickBot="1">
      <c r="A60" s="8">
        <v>18</v>
      </c>
      <c r="B60" s="6" t="s">
        <v>76</v>
      </c>
      <c r="C60" s="6" t="s">
        <v>77</v>
      </c>
      <c r="D60" s="12">
        <v>77</v>
      </c>
      <c r="E60" s="12">
        <v>47</v>
      </c>
      <c r="F60" s="12">
        <v>74</v>
      </c>
      <c r="G60" s="12">
        <v>198</v>
      </c>
      <c r="H60" s="14">
        <v>58</v>
      </c>
      <c r="I60" s="16" t="s">
        <v>389</v>
      </c>
    </row>
    <row r="61" spans="1:9" ht="13.5" thickBot="1">
      <c r="A61" s="8">
        <v>112</v>
      </c>
      <c r="B61" s="6" t="s">
        <v>322</v>
      </c>
      <c r="C61" s="6" t="s">
        <v>323</v>
      </c>
      <c r="D61" s="12">
        <v>65</v>
      </c>
      <c r="E61" s="12">
        <v>68</v>
      </c>
      <c r="F61" s="12">
        <v>65</v>
      </c>
      <c r="G61" s="12">
        <v>198</v>
      </c>
      <c r="H61" s="12">
        <v>59</v>
      </c>
      <c r="I61" s="16" t="s">
        <v>389</v>
      </c>
    </row>
    <row r="62" spans="1:9" ht="13.5" thickBot="1">
      <c r="A62" s="8">
        <v>130</v>
      </c>
      <c r="B62" s="6" t="s">
        <v>62</v>
      </c>
      <c r="C62" s="6" t="s">
        <v>63</v>
      </c>
      <c r="D62" s="12">
        <v>65</v>
      </c>
      <c r="E62" s="12">
        <v>65</v>
      </c>
      <c r="F62" s="12">
        <v>66</v>
      </c>
      <c r="G62" s="12">
        <v>196</v>
      </c>
      <c r="H62" s="12">
        <v>60</v>
      </c>
      <c r="I62" s="16" t="s">
        <v>389</v>
      </c>
    </row>
    <row r="63" spans="1:9" ht="13.5" thickBot="1">
      <c r="A63" s="8">
        <v>65</v>
      </c>
      <c r="B63" s="6" t="s">
        <v>68</v>
      </c>
      <c r="C63" s="6" t="s">
        <v>69</v>
      </c>
      <c r="D63" s="12">
        <v>73</v>
      </c>
      <c r="E63" s="12">
        <v>59</v>
      </c>
      <c r="F63" s="12">
        <v>62</v>
      </c>
      <c r="G63" s="12">
        <v>194</v>
      </c>
      <c r="H63" s="14">
        <v>61</v>
      </c>
      <c r="I63" s="16" t="s">
        <v>389</v>
      </c>
    </row>
    <row r="64" spans="1:9" ht="13.5" thickBot="1">
      <c r="A64" s="8">
        <v>189</v>
      </c>
      <c r="B64" s="6" t="s">
        <v>322</v>
      </c>
      <c r="C64" s="6" t="s">
        <v>359</v>
      </c>
      <c r="D64" s="12">
        <v>63</v>
      </c>
      <c r="E64" s="12">
        <v>77</v>
      </c>
      <c r="F64" s="12">
        <v>53</v>
      </c>
      <c r="G64" s="12">
        <v>193</v>
      </c>
      <c r="H64" s="12">
        <v>62</v>
      </c>
      <c r="I64" s="16" t="s">
        <v>389</v>
      </c>
    </row>
    <row r="65" spans="1:9" ht="13.5" thickBot="1">
      <c r="A65" s="8">
        <v>85</v>
      </c>
      <c r="B65" s="6" t="s">
        <v>302</v>
      </c>
      <c r="C65" s="6" t="s">
        <v>303</v>
      </c>
      <c r="D65" s="12">
        <v>60</v>
      </c>
      <c r="E65" s="12">
        <v>57</v>
      </c>
      <c r="F65" s="12">
        <v>75</v>
      </c>
      <c r="G65" s="12">
        <v>192</v>
      </c>
      <c r="H65" s="12">
        <v>63</v>
      </c>
      <c r="I65" s="16" t="s">
        <v>389</v>
      </c>
    </row>
    <row r="66" spans="1:9" ht="13.5" thickBot="1">
      <c r="A66" s="8">
        <v>134</v>
      </c>
      <c r="B66" s="6" t="s">
        <v>342</v>
      </c>
      <c r="C66" s="6" t="s">
        <v>343</v>
      </c>
      <c r="D66" s="12">
        <v>56</v>
      </c>
      <c r="E66" s="12">
        <v>77</v>
      </c>
      <c r="F66" s="12">
        <v>58</v>
      </c>
      <c r="G66" s="12">
        <v>191</v>
      </c>
      <c r="H66" s="14">
        <v>64</v>
      </c>
      <c r="I66" s="16" t="s">
        <v>389</v>
      </c>
    </row>
    <row r="67" spans="1:9" ht="13.5" thickBot="1">
      <c r="A67" s="8">
        <v>57</v>
      </c>
      <c r="B67" s="6" t="s">
        <v>60</v>
      </c>
      <c r="C67" s="6" t="s">
        <v>281</v>
      </c>
      <c r="D67" s="12">
        <v>67</v>
      </c>
      <c r="E67" s="12">
        <v>52</v>
      </c>
      <c r="F67" s="12">
        <v>69</v>
      </c>
      <c r="G67" s="12">
        <v>188</v>
      </c>
      <c r="H67" s="12">
        <v>65</v>
      </c>
      <c r="I67" s="16" t="s">
        <v>389</v>
      </c>
    </row>
    <row r="68" spans="1:9" ht="13.5" thickBot="1">
      <c r="A68" s="8">
        <v>201</v>
      </c>
      <c r="B68" s="6" t="s">
        <v>84</v>
      </c>
      <c r="C68" s="6" t="s">
        <v>222</v>
      </c>
      <c r="D68" s="12">
        <v>49</v>
      </c>
      <c r="E68" s="12">
        <v>73</v>
      </c>
      <c r="F68" s="12">
        <v>66</v>
      </c>
      <c r="G68" s="12">
        <v>188</v>
      </c>
      <c r="H68" s="12">
        <v>66</v>
      </c>
      <c r="I68" s="16" t="s">
        <v>389</v>
      </c>
    </row>
    <row r="69" spans="1:9" ht="13.5" thickBot="1">
      <c r="A69" s="8">
        <v>60</v>
      </c>
      <c r="B69" s="6" t="s">
        <v>34</v>
      </c>
      <c r="C69" s="6" t="s">
        <v>157</v>
      </c>
      <c r="D69" s="12">
        <v>72</v>
      </c>
      <c r="E69" s="12">
        <v>47</v>
      </c>
      <c r="F69" s="12">
        <v>67</v>
      </c>
      <c r="G69" s="12">
        <v>186</v>
      </c>
      <c r="H69" s="14">
        <v>67</v>
      </c>
      <c r="I69" s="16" t="s">
        <v>389</v>
      </c>
    </row>
    <row r="70" spans="1:9" ht="13.5" thickBot="1">
      <c r="A70" s="8">
        <v>66</v>
      </c>
      <c r="B70" s="6" t="s">
        <v>44</v>
      </c>
      <c r="C70" s="6" t="s">
        <v>45</v>
      </c>
      <c r="D70" s="12">
        <v>60</v>
      </c>
      <c r="E70" s="12">
        <v>64</v>
      </c>
      <c r="F70" s="12">
        <v>62</v>
      </c>
      <c r="G70" s="12">
        <v>186</v>
      </c>
      <c r="H70" s="12">
        <v>68</v>
      </c>
      <c r="I70" s="16" t="s">
        <v>389</v>
      </c>
    </row>
    <row r="71" spans="1:9" ht="13.5" thickBot="1">
      <c r="A71" s="8">
        <v>6</v>
      </c>
      <c r="B71" s="6" t="s">
        <v>84</v>
      </c>
      <c r="C71" s="6" t="s">
        <v>85</v>
      </c>
      <c r="D71" s="12">
        <v>53</v>
      </c>
      <c r="E71" s="12">
        <v>66</v>
      </c>
      <c r="F71" s="12">
        <v>65</v>
      </c>
      <c r="G71" s="12">
        <v>184</v>
      </c>
      <c r="H71" s="12">
        <v>69</v>
      </c>
      <c r="I71" s="16" t="s">
        <v>390</v>
      </c>
    </row>
    <row r="72" spans="1:9" ht="13.5" thickBot="1">
      <c r="A72" s="8">
        <v>59</v>
      </c>
      <c r="B72" s="6" t="s">
        <v>175</v>
      </c>
      <c r="C72" s="6" t="s">
        <v>176</v>
      </c>
      <c r="D72" s="12">
        <v>54</v>
      </c>
      <c r="E72" s="12">
        <v>78</v>
      </c>
      <c r="F72" s="12">
        <v>51</v>
      </c>
      <c r="G72" s="12">
        <v>183</v>
      </c>
      <c r="H72" s="14">
        <v>70</v>
      </c>
      <c r="I72" s="16" t="s">
        <v>390</v>
      </c>
    </row>
    <row r="73" spans="1:9" ht="13.5" thickBot="1">
      <c r="A73" s="8">
        <v>193</v>
      </c>
      <c r="B73" s="6" t="s">
        <v>364</v>
      </c>
      <c r="C73" s="6" t="s">
        <v>365</v>
      </c>
      <c r="D73" s="12">
        <v>60</v>
      </c>
      <c r="E73" s="12">
        <v>65</v>
      </c>
      <c r="F73" s="12">
        <v>57</v>
      </c>
      <c r="G73" s="12">
        <v>182</v>
      </c>
      <c r="H73" s="12">
        <v>71</v>
      </c>
      <c r="I73" s="16" t="s">
        <v>390</v>
      </c>
    </row>
    <row r="74" spans="1:9" ht="13.5" thickBot="1">
      <c r="A74" s="8">
        <v>110</v>
      </c>
      <c r="B74" s="6" t="s">
        <v>297</v>
      </c>
      <c r="C74" s="6" t="s">
        <v>321</v>
      </c>
      <c r="D74" s="12">
        <v>56</v>
      </c>
      <c r="E74" s="12">
        <v>60</v>
      </c>
      <c r="F74" s="12">
        <v>64</v>
      </c>
      <c r="G74" s="12">
        <v>180</v>
      </c>
      <c r="H74" s="12">
        <v>72</v>
      </c>
      <c r="I74" s="16" t="s">
        <v>390</v>
      </c>
    </row>
    <row r="75" spans="1:9" ht="13.5" thickBot="1">
      <c r="A75" s="8">
        <v>93</v>
      </c>
      <c r="B75" s="6" t="s">
        <v>308</v>
      </c>
      <c r="C75" s="6" t="s">
        <v>309</v>
      </c>
      <c r="D75" s="12">
        <v>62</v>
      </c>
      <c r="E75" s="12">
        <v>55</v>
      </c>
      <c r="F75" s="12">
        <v>60</v>
      </c>
      <c r="G75" s="12">
        <v>177</v>
      </c>
      <c r="H75" s="14">
        <v>73</v>
      </c>
      <c r="I75" s="16" t="s">
        <v>390</v>
      </c>
    </row>
    <row r="76" spans="1:9" ht="13.5" thickBot="1">
      <c r="A76" s="8">
        <v>20</v>
      </c>
      <c r="B76" s="6" t="s">
        <v>243</v>
      </c>
      <c r="C76" s="6" t="s">
        <v>244</v>
      </c>
      <c r="D76" s="12">
        <v>57</v>
      </c>
      <c r="E76" s="12">
        <v>66</v>
      </c>
      <c r="F76" s="12">
        <v>53</v>
      </c>
      <c r="G76" s="12">
        <v>176</v>
      </c>
      <c r="H76" s="12">
        <v>74</v>
      </c>
      <c r="I76" s="16" t="s">
        <v>390</v>
      </c>
    </row>
    <row r="77" spans="1:9" ht="13.5" thickBot="1">
      <c r="A77" s="8">
        <v>137</v>
      </c>
      <c r="B77" s="6" t="s">
        <v>140</v>
      </c>
      <c r="C77" s="6" t="s">
        <v>141</v>
      </c>
      <c r="D77" s="12">
        <v>57</v>
      </c>
      <c r="E77" s="12">
        <v>55</v>
      </c>
      <c r="F77" s="12">
        <v>60</v>
      </c>
      <c r="G77" s="12">
        <v>172</v>
      </c>
      <c r="H77" s="12">
        <v>75</v>
      </c>
      <c r="I77" s="16" t="s">
        <v>390</v>
      </c>
    </row>
    <row r="78" spans="1:9" ht="13.5" thickBot="1">
      <c r="A78" s="8">
        <v>154</v>
      </c>
      <c r="B78" s="6" t="s">
        <v>99</v>
      </c>
      <c r="C78" s="6" t="s">
        <v>221</v>
      </c>
      <c r="D78" s="12">
        <v>62</v>
      </c>
      <c r="E78" s="12">
        <v>52</v>
      </c>
      <c r="F78" s="12">
        <v>58</v>
      </c>
      <c r="G78" s="12">
        <v>172</v>
      </c>
      <c r="H78" s="14">
        <v>76</v>
      </c>
      <c r="I78" s="16" t="s">
        <v>390</v>
      </c>
    </row>
    <row r="79" spans="1:9" ht="13.5" thickBot="1">
      <c r="A79" s="8">
        <v>44</v>
      </c>
      <c r="B79" s="6" t="s">
        <v>34</v>
      </c>
      <c r="C79" s="6" t="s">
        <v>268</v>
      </c>
      <c r="D79" s="12">
        <v>50</v>
      </c>
      <c r="E79" s="12">
        <v>45</v>
      </c>
      <c r="F79" s="12">
        <v>72</v>
      </c>
      <c r="G79" s="12">
        <v>167</v>
      </c>
      <c r="H79" s="12">
        <v>77</v>
      </c>
      <c r="I79" s="16" t="s">
        <v>390</v>
      </c>
    </row>
    <row r="80" spans="1:9" ht="13.5" thickBot="1">
      <c r="A80" s="8">
        <v>192</v>
      </c>
      <c r="B80" s="6" t="s">
        <v>95</v>
      </c>
      <c r="C80" s="6" t="s">
        <v>363</v>
      </c>
      <c r="D80" s="12">
        <v>70</v>
      </c>
      <c r="E80" s="12">
        <v>49</v>
      </c>
      <c r="F80" s="12">
        <v>47</v>
      </c>
      <c r="G80" s="12">
        <v>166</v>
      </c>
      <c r="H80" s="12">
        <v>78</v>
      </c>
      <c r="I80" s="16" t="s">
        <v>390</v>
      </c>
    </row>
    <row r="81" spans="1:9" ht="13.5" thickBot="1">
      <c r="A81" s="8">
        <v>54</v>
      </c>
      <c r="B81" s="6" t="s">
        <v>52</v>
      </c>
      <c r="C81" s="6" t="s">
        <v>280</v>
      </c>
      <c r="D81" s="12">
        <v>67</v>
      </c>
      <c r="E81" s="12">
        <v>49</v>
      </c>
      <c r="F81" s="12">
        <v>49</v>
      </c>
      <c r="G81" s="12">
        <v>165</v>
      </c>
      <c r="H81" s="14">
        <v>79</v>
      </c>
      <c r="I81" s="16" t="s">
        <v>390</v>
      </c>
    </row>
    <row r="82" spans="1:9" ht="13.5" thickBot="1">
      <c r="A82" s="8">
        <v>9</v>
      </c>
      <c r="B82" s="6" t="s">
        <v>209</v>
      </c>
      <c r="C82" s="6" t="s">
        <v>210</v>
      </c>
      <c r="D82" s="12">
        <v>49</v>
      </c>
      <c r="E82" s="12">
        <v>55</v>
      </c>
      <c r="F82" s="12">
        <v>59</v>
      </c>
      <c r="G82" s="12">
        <v>163</v>
      </c>
      <c r="H82" s="12">
        <v>80</v>
      </c>
      <c r="I82" s="16" t="s">
        <v>391</v>
      </c>
    </row>
    <row r="83" spans="1:9" ht="13.5" thickBot="1">
      <c r="A83" s="8">
        <v>155</v>
      </c>
      <c r="B83" s="6" t="s">
        <v>95</v>
      </c>
      <c r="C83" s="6" t="s">
        <v>354</v>
      </c>
      <c r="D83" s="12">
        <v>43</v>
      </c>
      <c r="E83" s="12">
        <v>47</v>
      </c>
      <c r="F83" s="12">
        <v>65</v>
      </c>
      <c r="G83" s="12">
        <v>155</v>
      </c>
      <c r="H83" s="12">
        <v>81</v>
      </c>
      <c r="I83" s="16" t="s">
        <v>391</v>
      </c>
    </row>
    <row r="84" spans="1:9" ht="13.5" thickBot="1">
      <c r="A84" s="8">
        <v>122</v>
      </c>
      <c r="B84" s="6" t="s">
        <v>64</v>
      </c>
      <c r="C84" s="6" t="s">
        <v>334</v>
      </c>
      <c r="D84" s="12">
        <v>41</v>
      </c>
      <c r="E84" s="12">
        <v>57</v>
      </c>
      <c r="F84" s="12">
        <v>57</v>
      </c>
      <c r="G84" s="12">
        <v>155</v>
      </c>
      <c r="H84" s="14">
        <v>82</v>
      </c>
      <c r="I84" s="16" t="s">
        <v>391</v>
      </c>
    </row>
    <row r="85" spans="1:9" ht="13.5" thickBot="1">
      <c r="A85" s="8">
        <v>111</v>
      </c>
      <c r="B85" s="6" t="s">
        <v>187</v>
      </c>
      <c r="C85" s="6" t="s">
        <v>188</v>
      </c>
      <c r="D85" s="12">
        <v>51</v>
      </c>
      <c r="E85" s="12">
        <v>41</v>
      </c>
      <c r="F85" s="12">
        <v>52</v>
      </c>
      <c r="G85" s="12">
        <v>144</v>
      </c>
      <c r="H85" s="12">
        <v>83</v>
      </c>
    </row>
    <row r="86" spans="1:9" ht="13.5" thickBot="1">
      <c r="A86" s="8">
        <v>176</v>
      </c>
      <c r="B86" s="6" t="s">
        <v>199</v>
      </c>
      <c r="C86" s="6" t="s">
        <v>200</v>
      </c>
      <c r="D86" s="12">
        <v>51</v>
      </c>
      <c r="E86" s="12">
        <v>52</v>
      </c>
      <c r="F86" s="12">
        <v>40</v>
      </c>
      <c r="G86" s="12">
        <v>143</v>
      </c>
      <c r="H86" s="12">
        <v>84</v>
      </c>
    </row>
    <row r="87" spans="1:9" ht="13.5" thickBot="1">
      <c r="A87" s="8">
        <v>195</v>
      </c>
      <c r="B87" s="6" t="s">
        <v>366</v>
      </c>
      <c r="C87" s="6" t="s">
        <v>367</v>
      </c>
      <c r="D87" s="12">
        <v>62</v>
      </c>
      <c r="E87" s="12">
        <v>50</v>
      </c>
      <c r="F87" s="12">
        <v>30</v>
      </c>
      <c r="G87" s="12">
        <v>142</v>
      </c>
      <c r="H87" s="14">
        <v>85</v>
      </c>
    </row>
    <row r="88" spans="1:9" ht="13.5" thickBot="1">
      <c r="A88" s="8">
        <v>196</v>
      </c>
      <c r="B88" s="6" t="s">
        <v>368</v>
      </c>
      <c r="C88" s="6" t="s">
        <v>369</v>
      </c>
      <c r="D88" s="12">
        <v>58</v>
      </c>
      <c r="E88" s="12">
        <v>32</v>
      </c>
      <c r="F88" s="12">
        <v>46</v>
      </c>
      <c r="G88" s="12">
        <v>136</v>
      </c>
      <c r="H88" s="12">
        <v>86</v>
      </c>
    </row>
    <row r="89" spans="1:9" ht="13.5" thickBot="1">
      <c r="A89" s="8">
        <v>10</v>
      </c>
      <c r="B89" s="6" t="s">
        <v>93</v>
      </c>
      <c r="C89" s="6" t="s">
        <v>94</v>
      </c>
      <c r="D89" s="12">
        <v>58</v>
      </c>
      <c r="E89" s="12">
        <v>39</v>
      </c>
      <c r="F89" s="12">
        <v>33</v>
      </c>
      <c r="G89" s="12">
        <v>130</v>
      </c>
      <c r="H89" s="12">
        <v>87</v>
      </c>
    </row>
    <row r="90" spans="1:9" ht="13.5" thickBot="1">
      <c r="A90" s="8">
        <v>125</v>
      </c>
      <c r="B90" s="6" t="s">
        <v>336</v>
      </c>
      <c r="C90" s="6" t="s">
        <v>337</v>
      </c>
      <c r="D90" s="12">
        <v>43</v>
      </c>
      <c r="E90" s="12">
        <v>32</v>
      </c>
      <c r="F90" s="12">
        <v>46</v>
      </c>
      <c r="G90" s="12">
        <v>121</v>
      </c>
      <c r="H90" s="14">
        <v>88</v>
      </c>
    </row>
    <row r="91" spans="1:9" ht="13.5" thickBot="1">
      <c r="A91" s="8">
        <v>109</v>
      </c>
      <c r="B91" s="6" t="s">
        <v>209</v>
      </c>
      <c r="C91" s="6" t="s">
        <v>320</v>
      </c>
      <c r="D91" s="12">
        <v>24</v>
      </c>
      <c r="E91" s="12">
        <v>48</v>
      </c>
      <c r="F91" s="12">
        <v>2</v>
      </c>
      <c r="G91" s="12">
        <v>74</v>
      </c>
      <c r="H91" s="12">
        <v>89</v>
      </c>
    </row>
    <row r="92" spans="1:9" ht="13.5" thickBot="1">
      <c r="D92" s="74" t="s">
        <v>383</v>
      </c>
      <c r="E92" s="75"/>
      <c r="F92" s="76"/>
      <c r="G92" s="31">
        <f>SUM(G3:G91)/89</f>
        <v>204</v>
      </c>
      <c r="H92" s="29" t="s">
        <v>389</v>
      </c>
    </row>
  </sheetData>
  <sortState ref="A3:G91">
    <sortCondition descending="1" ref="G3:G91"/>
    <sortCondition descending="1" ref="F3:F91"/>
    <sortCondition descending="1" ref="E3:E91"/>
    <sortCondition descending="1" ref="D3:D91"/>
  </sortState>
  <mergeCells count="1">
    <mergeCell ref="D92:F9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I13" sqref="I13"/>
    </sheetView>
  </sheetViews>
  <sheetFormatPr defaultColWidth="9.140625" defaultRowHeight="12.75"/>
  <cols>
    <col min="1" max="1" width="4" style="5" bestFit="1" customWidth="1"/>
    <col min="2" max="2" width="13.7109375" style="5" customWidth="1"/>
    <col min="3" max="3" width="17.28515625" style="5" customWidth="1"/>
    <col min="4" max="8" width="7.42578125" style="16" customWidth="1"/>
    <col min="9" max="9" width="9.140625" style="16"/>
    <col min="10" max="16384" width="9.140625" style="5"/>
  </cols>
  <sheetData>
    <row r="1" spans="1:9" ht="13.5" thickBot="1">
      <c r="A1" s="6"/>
      <c r="B1" s="18" t="s">
        <v>378</v>
      </c>
      <c r="C1" s="6"/>
      <c r="D1" s="12"/>
      <c r="E1" s="12"/>
      <c r="F1" s="12"/>
      <c r="G1" s="12"/>
      <c r="H1" s="12"/>
    </row>
    <row r="2" spans="1:9" ht="13.5" thickBot="1">
      <c r="A2" s="9" t="s">
        <v>1</v>
      </c>
      <c r="B2" s="48" t="s">
        <v>30</v>
      </c>
      <c r="C2" s="48" t="s">
        <v>31</v>
      </c>
      <c r="D2" s="49">
        <v>1</v>
      </c>
      <c r="E2" s="49">
        <v>2</v>
      </c>
      <c r="F2" s="49">
        <v>3</v>
      </c>
      <c r="G2" s="49" t="s">
        <v>6</v>
      </c>
      <c r="H2" s="49" t="s">
        <v>7</v>
      </c>
      <c r="I2" s="38" t="s">
        <v>385</v>
      </c>
    </row>
    <row r="3" spans="1:9" ht="13.5" thickBot="1">
      <c r="A3" s="47">
        <v>135</v>
      </c>
      <c r="B3" s="53" t="s">
        <v>72</v>
      </c>
      <c r="C3" s="54" t="s">
        <v>73</v>
      </c>
      <c r="D3" s="55">
        <v>88</v>
      </c>
      <c r="E3" s="55">
        <v>81</v>
      </c>
      <c r="F3" s="55">
        <v>78</v>
      </c>
      <c r="G3" s="55">
        <v>247</v>
      </c>
      <c r="H3" s="56">
        <v>1</v>
      </c>
      <c r="I3" s="16" t="s">
        <v>386</v>
      </c>
    </row>
    <row r="4" spans="1:9" ht="13.5" thickBot="1">
      <c r="A4" s="47">
        <v>37</v>
      </c>
      <c r="B4" s="57" t="s">
        <v>256</v>
      </c>
      <c r="C4" s="19" t="s">
        <v>257</v>
      </c>
      <c r="D4" s="20">
        <v>81</v>
      </c>
      <c r="E4" s="20">
        <v>67</v>
      </c>
      <c r="F4" s="20">
        <v>85</v>
      </c>
      <c r="G4" s="20">
        <v>233</v>
      </c>
      <c r="H4" s="58">
        <v>2</v>
      </c>
      <c r="I4" s="16" t="s">
        <v>388</v>
      </c>
    </row>
    <row r="5" spans="1:9" ht="13.5" thickBot="1">
      <c r="A5" s="47">
        <v>126</v>
      </c>
      <c r="B5" s="59" t="s">
        <v>237</v>
      </c>
      <c r="C5" s="60" t="s">
        <v>338</v>
      </c>
      <c r="D5" s="61">
        <v>68</v>
      </c>
      <c r="E5" s="61">
        <v>78</v>
      </c>
      <c r="F5" s="61">
        <v>77</v>
      </c>
      <c r="G5" s="61">
        <v>223</v>
      </c>
      <c r="H5" s="62">
        <v>3</v>
      </c>
      <c r="I5" s="16" t="s">
        <v>384</v>
      </c>
    </row>
    <row r="6" spans="1:9" ht="13.5" thickBot="1">
      <c r="A6" s="8">
        <v>45</v>
      </c>
      <c r="B6" s="50" t="s">
        <v>269</v>
      </c>
      <c r="C6" s="50" t="s">
        <v>270</v>
      </c>
      <c r="D6" s="51">
        <v>77</v>
      </c>
      <c r="E6" s="51">
        <v>75</v>
      </c>
      <c r="F6" s="51">
        <v>66</v>
      </c>
      <c r="G6" s="51">
        <v>218</v>
      </c>
      <c r="H6" s="52">
        <v>4</v>
      </c>
      <c r="I6" s="16" t="s">
        <v>384</v>
      </c>
    </row>
    <row r="7" spans="1:9" ht="13.5" thickBot="1">
      <c r="A7" s="8">
        <v>145</v>
      </c>
      <c r="B7" s="6" t="s">
        <v>347</v>
      </c>
      <c r="C7" s="6" t="s">
        <v>348</v>
      </c>
      <c r="D7" s="12">
        <v>75</v>
      </c>
      <c r="E7" s="12">
        <v>78</v>
      </c>
      <c r="F7" s="12">
        <v>65</v>
      </c>
      <c r="G7" s="12">
        <v>218</v>
      </c>
      <c r="H7" s="12">
        <v>5</v>
      </c>
      <c r="I7" s="16" t="s">
        <v>384</v>
      </c>
    </row>
    <row r="8" spans="1:9" ht="13.5" thickBot="1">
      <c r="A8" s="8">
        <v>146</v>
      </c>
      <c r="B8" s="6" t="s">
        <v>260</v>
      </c>
      <c r="C8" s="6" t="s">
        <v>349</v>
      </c>
      <c r="D8" s="12">
        <v>68</v>
      </c>
      <c r="E8" s="12">
        <v>82</v>
      </c>
      <c r="F8" s="12">
        <v>67</v>
      </c>
      <c r="G8" s="12">
        <v>217</v>
      </c>
      <c r="H8" s="12">
        <v>6</v>
      </c>
      <c r="I8" s="16" t="s">
        <v>384</v>
      </c>
    </row>
    <row r="9" spans="1:9" ht="13.5" thickBot="1">
      <c r="A9" s="8">
        <v>64</v>
      </c>
      <c r="B9" s="6" t="s">
        <v>207</v>
      </c>
      <c r="C9" s="6" t="s">
        <v>208</v>
      </c>
      <c r="D9" s="12">
        <v>72</v>
      </c>
      <c r="E9" s="12">
        <v>77</v>
      </c>
      <c r="F9" s="12">
        <v>65</v>
      </c>
      <c r="G9" s="12">
        <v>214</v>
      </c>
      <c r="H9" s="14">
        <v>7</v>
      </c>
      <c r="I9" s="16" t="s">
        <v>384</v>
      </c>
    </row>
    <row r="10" spans="1:9" ht="13.5" thickBot="1">
      <c r="A10" s="8">
        <v>147</v>
      </c>
      <c r="B10" s="6" t="s">
        <v>132</v>
      </c>
      <c r="C10" s="6" t="s">
        <v>133</v>
      </c>
      <c r="D10" s="12">
        <v>70</v>
      </c>
      <c r="E10" s="12">
        <v>64</v>
      </c>
      <c r="F10" s="12">
        <v>79</v>
      </c>
      <c r="G10" s="12">
        <v>213</v>
      </c>
      <c r="H10" s="12">
        <v>8</v>
      </c>
      <c r="I10" s="16" t="s">
        <v>384</v>
      </c>
    </row>
    <row r="11" spans="1:9" ht="13.5" thickBot="1">
      <c r="A11" s="8">
        <v>127</v>
      </c>
      <c r="B11" s="6" t="s">
        <v>177</v>
      </c>
      <c r="C11" s="6" t="s">
        <v>178</v>
      </c>
      <c r="D11" s="12">
        <v>69</v>
      </c>
      <c r="E11" s="12">
        <v>69</v>
      </c>
      <c r="F11" s="12">
        <v>70</v>
      </c>
      <c r="G11" s="12">
        <v>208</v>
      </c>
      <c r="H11" s="12">
        <v>9</v>
      </c>
      <c r="I11" s="16" t="s">
        <v>384</v>
      </c>
    </row>
    <row r="12" spans="1:9" ht="13.5" thickBot="1">
      <c r="A12" s="8">
        <v>151</v>
      </c>
      <c r="B12" s="19" t="s">
        <v>225</v>
      </c>
      <c r="C12" s="19" t="s">
        <v>352</v>
      </c>
      <c r="D12" s="20">
        <v>73</v>
      </c>
      <c r="E12" s="20">
        <v>64</v>
      </c>
      <c r="F12" s="20">
        <v>70</v>
      </c>
      <c r="G12" s="20">
        <v>207</v>
      </c>
      <c r="H12" s="14">
        <v>10</v>
      </c>
      <c r="I12" s="16" t="s">
        <v>384</v>
      </c>
    </row>
    <row r="13" spans="1:9" ht="13.5" thickBot="1">
      <c r="A13" s="8">
        <v>52</v>
      </c>
      <c r="B13" s="22" t="s">
        <v>276</v>
      </c>
      <c r="C13" s="22" t="s">
        <v>277</v>
      </c>
      <c r="D13" s="23">
        <v>66</v>
      </c>
      <c r="E13" s="23">
        <v>71</v>
      </c>
      <c r="F13" s="23">
        <v>68</v>
      </c>
      <c r="G13" s="23">
        <v>205</v>
      </c>
      <c r="H13" s="12">
        <v>11</v>
      </c>
      <c r="I13" s="16" t="s">
        <v>384</v>
      </c>
    </row>
    <row r="14" spans="1:9" ht="13.5" thickBot="1">
      <c r="A14" s="8">
        <v>89</v>
      </c>
      <c r="B14" s="24" t="s">
        <v>306</v>
      </c>
      <c r="C14" s="24" t="s">
        <v>307</v>
      </c>
      <c r="D14" s="25">
        <v>60</v>
      </c>
      <c r="E14" s="25">
        <v>82</v>
      </c>
      <c r="F14" s="25">
        <v>62</v>
      </c>
      <c r="G14" s="25">
        <v>204</v>
      </c>
      <c r="H14" s="12">
        <v>12</v>
      </c>
      <c r="I14" s="16" t="s">
        <v>389</v>
      </c>
    </row>
    <row r="15" spans="1:9" ht="13.5" thickBot="1">
      <c r="A15" s="8">
        <v>72</v>
      </c>
      <c r="B15" s="6" t="s">
        <v>286</v>
      </c>
      <c r="C15" s="6" t="s">
        <v>287</v>
      </c>
      <c r="D15" s="12">
        <v>65</v>
      </c>
      <c r="E15" s="12">
        <v>70</v>
      </c>
      <c r="F15" s="12">
        <v>63</v>
      </c>
      <c r="G15" s="12">
        <v>198</v>
      </c>
      <c r="H15" s="14">
        <v>13</v>
      </c>
      <c r="I15" s="16" t="s">
        <v>389</v>
      </c>
    </row>
    <row r="16" spans="1:9" ht="13.5" thickBot="1">
      <c r="A16" s="8">
        <v>95</v>
      </c>
      <c r="B16" s="6" t="s">
        <v>235</v>
      </c>
      <c r="C16" s="6" t="s">
        <v>236</v>
      </c>
      <c r="D16" s="12">
        <v>57</v>
      </c>
      <c r="E16" s="12">
        <v>64</v>
      </c>
      <c r="F16" s="12">
        <v>64</v>
      </c>
      <c r="G16" s="12">
        <v>185</v>
      </c>
      <c r="H16" s="12">
        <v>14</v>
      </c>
      <c r="I16" s="16" t="s">
        <v>389</v>
      </c>
    </row>
    <row r="17" spans="1:9" ht="13.5" thickBot="1">
      <c r="A17" s="8">
        <v>133</v>
      </c>
      <c r="B17" s="6" t="s">
        <v>340</v>
      </c>
      <c r="C17" s="6" t="s">
        <v>341</v>
      </c>
      <c r="D17" s="12">
        <v>58</v>
      </c>
      <c r="E17" s="12">
        <v>66</v>
      </c>
      <c r="F17" s="12">
        <v>59</v>
      </c>
      <c r="G17" s="12">
        <v>183</v>
      </c>
      <c r="H17" s="12">
        <v>15</v>
      </c>
      <c r="I17" s="16" t="s">
        <v>390</v>
      </c>
    </row>
    <row r="18" spans="1:9" ht="13.5" thickBot="1">
      <c r="A18" s="8">
        <v>96</v>
      </c>
      <c r="B18" s="6" t="s">
        <v>311</v>
      </c>
      <c r="C18" s="6" t="s">
        <v>312</v>
      </c>
      <c r="D18" s="12">
        <v>63</v>
      </c>
      <c r="E18" s="12">
        <v>62</v>
      </c>
      <c r="F18" s="12">
        <v>57</v>
      </c>
      <c r="G18" s="12">
        <v>182</v>
      </c>
      <c r="H18" s="14">
        <v>16</v>
      </c>
      <c r="I18" s="16" t="s">
        <v>390</v>
      </c>
    </row>
    <row r="19" spans="1:9" ht="13.5" thickBot="1">
      <c r="A19" s="8">
        <v>63</v>
      </c>
      <c r="B19" s="6" t="s">
        <v>284</v>
      </c>
      <c r="C19" s="6" t="s">
        <v>285</v>
      </c>
      <c r="D19" s="12">
        <v>50</v>
      </c>
      <c r="E19" s="12">
        <v>54</v>
      </c>
      <c r="F19" s="12">
        <v>76</v>
      </c>
      <c r="G19" s="12">
        <v>180</v>
      </c>
      <c r="H19" s="12">
        <v>17</v>
      </c>
      <c r="I19" s="16" t="s">
        <v>390</v>
      </c>
    </row>
    <row r="20" spans="1:9" ht="13.5" thickBot="1">
      <c r="A20" s="8">
        <v>23</v>
      </c>
      <c r="B20" s="6" t="s">
        <v>160</v>
      </c>
      <c r="C20" s="6" t="s">
        <v>161</v>
      </c>
      <c r="D20" s="12">
        <v>64</v>
      </c>
      <c r="E20" s="12">
        <v>67</v>
      </c>
      <c r="F20" s="12">
        <v>49</v>
      </c>
      <c r="G20" s="12">
        <v>180</v>
      </c>
      <c r="H20" s="12">
        <v>18</v>
      </c>
      <c r="I20" s="16" t="s">
        <v>390</v>
      </c>
    </row>
    <row r="21" spans="1:9" ht="13.5" thickBot="1">
      <c r="A21" s="8">
        <v>150</v>
      </c>
      <c r="B21" s="6" t="s">
        <v>350</v>
      </c>
      <c r="C21" s="6" t="s">
        <v>351</v>
      </c>
      <c r="D21" s="12">
        <v>58</v>
      </c>
      <c r="E21" s="12">
        <v>51</v>
      </c>
      <c r="F21" s="12">
        <v>59</v>
      </c>
      <c r="G21" s="12">
        <v>168</v>
      </c>
      <c r="H21" s="14">
        <v>19</v>
      </c>
      <c r="I21" s="16" t="s">
        <v>390</v>
      </c>
    </row>
    <row r="22" spans="1:9" ht="13.5" thickBot="1">
      <c r="A22" s="8">
        <v>123</v>
      </c>
      <c r="B22" s="6" t="s">
        <v>316</v>
      </c>
      <c r="C22" s="6" t="s">
        <v>334</v>
      </c>
      <c r="D22" s="12">
        <v>63</v>
      </c>
      <c r="E22" s="12">
        <v>54</v>
      </c>
      <c r="F22" s="12">
        <v>51</v>
      </c>
      <c r="G22" s="12">
        <v>168</v>
      </c>
      <c r="H22" s="12">
        <v>20</v>
      </c>
      <c r="I22" s="16" t="s">
        <v>390</v>
      </c>
    </row>
    <row r="23" spans="1:9" ht="13.5" thickBot="1">
      <c r="A23" s="8">
        <v>198</v>
      </c>
      <c r="B23" s="6" t="s">
        <v>371</v>
      </c>
      <c r="C23" s="6" t="s">
        <v>372</v>
      </c>
      <c r="D23" s="12">
        <v>54</v>
      </c>
      <c r="E23" s="12">
        <v>59</v>
      </c>
      <c r="F23" s="12">
        <v>52</v>
      </c>
      <c r="G23" s="12">
        <v>165</v>
      </c>
      <c r="H23" s="12">
        <v>21</v>
      </c>
      <c r="I23" s="16" t="s">
        <v>390</v>
      </c>
    </row>
    <row r="24" spans="1:9" ht="13.5" thickBot="1">
      <c r="A24" s="8">
        <v>140</v>
      </c>
      <c r="B24" s="6" t="s">
        <v>189</v>
      </c>
      <c r="C24" s="6" t="s">
        <v>190</v>
      </c>
      <c r="D24" s="12">
        <v>72</v>
      </c>
      <c r="E24" s="12">
        <v>43</v>
      </c>
      <c r="F24" s="12">
        <v>43</v>
      </c>
      <c r="G24" s="12">
        <v>158</v>
      </c>
      <c r="H24" s="14">
        <v>22</v>
      </c>
      <c r="I24" s="16" t="s">
        <v>391</v>
      </c>
    </row>
    <row r="25" spans="1:9" ht="13.5" thickBot="1">
      <c r="A25" s="8">
        <v>128</v>
      </c>
      <c r="B25" s="6" t="s">
        <v>215</v>
      </c>
      <c r="C25" s="6" t="s">
        <v>216</v>
      </c>
      <c r="D25" s="12">
        <v>58</v>
      </c>
      <c r="E25" s="12">
        <v>40</v>
      </c>
      <c r="F25" s="12">
        <v>44</v>
      </c>
      <c r="G25" s="12">
        <v>142</v>
      </c>
      <c r="H25" s="12">
        <v>23</v>
      </c>
    </row>
    <row r="26" spans="1:9" ht="13.5" thickBot="1">
      <c r="A26" s="8">
        <v>139</v>
      </c>
      <c r="B26" s="6" t="s">
        <v>345</v>
      </c>
      <c r="C26" s="6" t="s">
        <v>346</v>
      </c>
      <c r="D26" s="12">
        <v>42</v>
      </c>
      <c r="E26" s="12">
        <v>46</v>
      </c>
      <c r="F26" s="12">
        <v>40</v>
      </c>
      <c r="G26" s="12">
        <v>128</v>
      </c>
      <c r="H26" s="12">
        <v>24</v>
      </c>
    </row>
    <row r="27" spans="1:9" ht="13.5" thickBot="1">
      <c r="A27" s="8">
        <v>156</v>
      </c>
      <c r="B27" s="6" t="s">
        <v>355</v>
      </c>
      <c r="C27" s="6" t="s">
        <v>356</v>
      </c>
      <c r="D27" s="12">
        <v>37</v>
      </c>
      <c r="E27" s="12">
        <v>42</v>
      </c>
      <c r="F27" s="12">
        <v>48</v>
      </c>
      <c r="G27" s="12">
        <v>127</v>
      </c>
      <c r="H27" s="14">
        <v>25</v>
      </c>
    </row>
    <row r="28" spans="1:9" ht="13.5" thickBot="1">
      <c r="A28" s="8">
        <v>38</v>
      </c>
      <c r="B28" s="6" t="s">
        <v>258</v>
      </c>
      <c r="C28" s="6" t="s">
        <v>259</v>
      </c>
      <c r="D28" s="12">
        <v>30</v>
      </c>
      <c r="E28" s="12">
        <v>45</v>
      </c>
      <c r="F28" s="12">
        <v>33</v>
      </c>
      <c r="G28" s="12">
        <v>108</v>
      </c>
      <c r="H28" s="12">
        <v>26</v>
      </c>
    </row>
    <row r="29" spans="1:9" ht="13.5" thickBot="1">
      <c r="A29" s="8">
        <v>53</v>
      </c>
      <c r="B29" s="6" t="s">
        <v>278</v>
      </c>
      <c r="C29" s="6" t="s">
        <v>279</v>
      </c>
      <c r="D29" s="12">
        <v>32</v>
      </c>
      <c r="E29" s="12">
        <v>52</v>
      </c>
      <c r="F29" s="12">
        <v>23</v>
      </c>
      <c r="G29" s="12">
        <v>107</v>
      </c>
      <c r="H29" s="12">
        <v>27</v>
      </c>
    </row>
    <row r="30" spans="1:9" ht="13.5" thickBot="1">
      <c r="A30" s="8">
        <v>174</v>
      </c>
      <c r="B30" s="6" t="s">
        <v>213</v>
      </c>
      <c r="C30" s="6" t="s">
        <v>214</v>
      </c>
      <c r="D30" s="12">
        <v>39</v>
      </c>
      <c r="E30" s="12">
        <v>37</v>
      </c>
      <c r="F30" s="12">
        <v>30</v>
      </c>
      <c r="G30" s="12">
        <v>106</v>
      </c>
      <c r="H30" s="14">
        <v>28</v>
      </c>
    </row>
    <row r="31" spans="1:9" ht="13.5" thickBot="1">
      <c r="A31" s="8">
        <v>115</v>
      </c>
      <c r="B31" s="6" t="s">
        <v>326</v>
      </c>
      <c r="C31" s="6" t="s">
        <v>327</v>
      </c>
      <c r="D31" s="12">
        <v>20</v>
      </c>
      <c r="E31" s="12">
        <v>36</v>
      </c>
      <c r="F31" s="12">
        <v>2</v>
      </c>
      <c r="G31" s="12">
        <v>58</v>
      </c>
      <c r="H31" s="12">
        <v>29</v>
      </c>
    </row>
    <row r="32" spans="1:9" ht="13.5" thickBot="1">
      <c r="D32" s="74" t="s">
        <v>383</v>
      </c>
      <c r="E32" s="75"/>
      <c r="F32" s="76"/>
      <c r="G32" s="31">
        <f>SUM(G3:G31)/29</f>
        <v>177.58620689655172</v>
      </c>
      <c r="H32" s="29" t="s">
        <v>390</v>
      </c>
    </row>
  </sheetData>
  <sortState ref="A3:G31">
    <sortCondition descending="1" ref="G3:G31"/>
    <sortCondition descending="1" ref="F3:F31"/>
    <sortCondition descending="1" ref="E3:E31"/>
  </sortState>
  <mergeCells count="1">
    <mergeCell ref="D32:F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3:K21"/>
  <sheetViews>
    <sheetView workbookViewId="0">
      <selection activeCell="N9" sqref="N9"/>
    </sheetView>
  </sheetViews>
  <sheetFormatPr defaultColWidth="12.5703125" defaultRowHeight="15.75" customHeight="1"/>
  <cols>
    <col min="8" max="9" width="7.85546875" customWidth="1"/>
  </cols>
  <sheetData>
    <row r="3" spans="1:11" ht="15.75" customHeight="1">
      <c r="A3" s="3" t="s">
        <v>1</v>
      </c>
      <c r="B3" s="3" t="s">
        <v>8</v>
      </c>
      <c r="C3" s="3" t="s">
        <v>3</v>
      </c>
      <c r="D3" s="3" t="s">
        <v>4</v>
      </c>
      <c r="E3" s="3" t="s">
        <v>5</v>
      </c>
      <c r="F3" s="3" t="s">
        <v>9</v>
      </c>
      <c r="G3" s="3" t="s">
        <v>10</v>
      </c>
      <c r="H3" s="3" t="s">
        <v>6</v>
      </c>
      <c r="I3" s="3" t="s">
        <v>7</v>
      </c>
      <c r="J3" s="4"/>
      <c r="K3" s="4"/>
    </row>
    <row r="4" spans="1:11" ht="18">
      <c r="B4" s="80" t="s">
        <v>11</v>
      </c>
      <c r="C4" s="80">
        <v>1589</v>
      </c>
      <c r="D4" s="80">
        <v>1588</v>
      </c>
      <c r="E4" s="80">
        <v>1366</v>
      </c>
      <c r="F4" s="81"/>
      <c r="G4" s="81"/>
      <c r="H4" s="82">
        <f t="shared" ref="H4:H21" si="0">SUM(C4:G4)</f>
        <v>4543</v>
      </c>
      <c r="I4" s="83">
        <f t="shared" ref="I4:I21" si="1">RANK(H4,H$4:H1000)</f>
        <v>1</v>
      </c>
    </row>
    <row r="5" spans="1:11" ht="18">
      <c r="B5" s="80" t="s">
        <v>12</v>
      </c>
      <c r="C5" s="80">
        <v>1572</v>
      </c>
      <c r="D5" s="80">
        <v>1616</v>
      </c>
      <c r="E5" s="80">
        <v>1319</v>
      </c>
      <c r="F5" s="81"/>
      <c r="G5" s="81"/>
      <c r="H5" s="82">
        <f t="shared" si="0"/>
        <v>4507</v>
      </c>
      <c r="I5" s="83">
        <f t="shared" si="1"/>
        <v>2</v>
      </c>
    </row>
    <row r="6" spans="1:11" ht="18">
      <c r="B6" s="80" t="s">
        <v>13</v>
      </c>
      <c r="C6" s="80">
        <v>1547</v>
      </c>
      <c r="D6" s="80">
        <v>1586</v>
      </c>
      <c r="E6" s="80">
        <v>1306</v>
      </c>
      <c r="F6" s="81"/>
      <c r="G6" s="81"/>
      <c r="H6" s="82">
        <f t="shared" si="0"/>
        <v>4439</v>
      </c>
      <c r="I6" s="83">
        <f t="shared" si="1"/>
        <v>3</v>
      </c>
    </row>
    <row r="7" spans="1:11" ht="18">
      <c r="B7" s="80" t="s">
        <v>14</v>
      </c>
      <c r="C7" s="80">
        <v>1488</v>
      </c>
      <c r="D7" s="80">
        <v>1590</v>
      </c>
      <c r="E7" s="80">
        <v>1339</v>
      </c>
      <c r="F7" s="81"/>
      <c r="G7" s="81"/>
      <c r="H7" s="82">
        <f t="shared" si="0"/>
        <v>4417</v>
      </c>
      <c r="I7" s="83">
        <f t="shared" si="1"/>
        <v>4</v>
      </c>
    </row>
    <row r="8" spans="1:11" ht="18">
      <c r="B8" s="80" t="s">
        <v>15</v>
      </c>
      <c r="C8" s="80">
        <v>1547</v>
      </c>
      <c r="D8" s="80">
        <v>1543</v>
      </c>
      <c r="E8" s="80">
        <v>1146</v>
      </c>
      <c r="F8" s="81"/>
      <c r="G8" s="81"/>
      <c r="H8" s="82">
        <f t="shared" si="0"/>
        <v>4236</v>
      </c>
      <c r="I8" s="83">
        <f t="shared" si="1"/>
        <v>5</v>
      </c>
    </row>
    <row r="9" spans="1:11" ht="18">
      <c r="B9" s="80" t="s">
        <v>16</v>
      </c>
      <c r="C9" s="80">
        <v>1512</v>
      </c>
      <c r="D9" s="80">
        <v>1392</v>
      </c>
      <c r="E9" s="80">
        <v>1126</v>
      </c>
      <c r="F9" s="81"/>
      <c r="G9" s="81"/>
      <c r="H9" s="82">
        <f t="shared" si="0"/>
        <v>4030</v>
      </c>
      <c r="I9" s="83">
        <f t="shared" si="1"/>
        <v>6</v>
      </c>
    </row>
    <row r="10" spans="1:11" ht="18">
      <c r="B10" s="80" t="s">
        <v>17</v>
      </c>
      <c r="C10" s="80">
        <v>1208</v>
      </c>
      <c r="D10" s="80">
        <v>1534</v>
      </c>
      <c r="E10" s="80">
        <v>1245</v>
      </c>
      <c r="F10" s="81"/>
      <c r="G10" s="81"/>
      <c r="H10" s="82">
        <f t="shared" si="0"/>
        <v>3987</v>
      </c>
      <c r="I10" s="83">
        <f t="shared" si="1"/>
        <v>7</v>
      </c>
    </row>
    <row r="11" spans="1:11" ht="18">
      <c r="B11" s="80" t="s">
        <v>18</v>
      </c>
      <c r="C11" s="80">
        <v>1381</v>
      </c>
      <c r="D11" s="80">
        <v>1396</v>
      </c>
      <c r="E11" s="80">
        <v>1103</v>
      </c>
      <c r="F11" s="81"/>
      <c r="G11" s="81"/>
      <c r="H11" s="82">
        <f t="shared" si="0"/>
        <v>3880</v>
      </c>
      <c r="I11" s="83">
        <f t="shared" si="1"/>
        <v>8</v>
      </c>
    </row>
    <row r="12" spans="1:11" ht="18">
      <c r="B12" s="80" t="s">
        <v>19</v>
      </c>
      <c r="C12" s="80">
        <v>1305</v>
      </c>
      <c r="D12" s="80">
        <v>1486</v>
      </c>
      <c r="E12" s="80">
        <v>1083</v>
      </c>
      <c r="F12" s="81"/>
      <c r="G12" s="81"/>
      <c r="H12" s="82">
        <f t="shared" si="0"/>
        <v>3874</v>
      </c>
      <c r="I12" s="83">
        <f t="shared" si="1"/>
        <v>9</v>
      </c>
    </row>
    <row r="13" spans="1:11" ht="18">
      <c r="B13" s="80" t="s">
        <v>20</v>
      </c>
      <c r="C13" s="80">
        <v>1155</v>
      </c>
      <c r="D13" s="80">
        <v>1449</v>
      </c>
      <c r="E13" s="80">
        <v>1167</v>
      </c>
      <c r="F13" s="81"/>
      <c r="G13" s="81"/>
      <c r="H13" s="82">
        <f t="shared" si="0"/>
        <v>3771</v>
      </c>
      <c r="I13" s="83">
        <f t="shared" si="1"/>
        <v>10</v>
      </c>
    </row>
    <row r="14" spans="1:11" ht="18">
      <c r="B14" s="80" t="s">
        <v>21</v>
      </c>
      <c r="C14" s="80">
        <v>1176</v>
      </c>
      <c r="D14" s="80">
        <v>1365</v>
      </c>
      <c r="E14" s="80">
        <v>1015</v>
      </c>
      <c r="F14" s="81"/>
      <c r="G14" s="81"/>
      <c r="H14" s="82">
        <f t="shared" si="0"/>
        <v>3556</v>
      </c>
      <c r="I14" s="83">
        <f t="shared" si="1"/>
        <v>11</v>
      </c>
    </row>
    <row r="15" spans="1:11" ht="18">
      <c r="B15" s="80" t="s">
        <v>22</v>
      </c>
      <c r="C15" s="80">
        <v>1485</v>
      </c>
      <c r="D15" s="80">
        <v>1204</v>
      </c>
      <c r="E15" s="80">
        <v>669</v>
      </c>
      <c r="F15" s="81"/>
      <c r="G15" s="81"/>
      <c r="H15" s="82">
        <f t="shared" si="0"/>
        <v>3358</v>
      </c>
      <c r="I15" s="83">
        <f t="shared" si="1"/>
        <v>12</v>
      </c>
    </row>
    <row r="16" spans="1:11" ht="18">
      <c r="B16" s="80" t="s">
        <v>23</v>
      </c>
      <c r="C16" s="80">
        <v>699</v>
      </c>
      <c r="D16" s="80">
        <v>1421</v>
      </c>
      <c r="E16" s="80">
        <v>1223</v>
      </c>
      <c r="F16" s="81"/>
      <c r="G16" s="81"/>
      <c r="H16" s="82">
        <f t="shared" si="0"/>
        <v>3343</v>
      </c>
      <c r="I16" s="83">
        <f t="shared" si="1"/>
        <v>13</v>
      </c>
    </row>
    <row r="17" spans="2:9" ht="18">
      <c r="B17" s="80" t="s">
        <v>24</v>
      </c>
      <c r="C17" s="80">
        <v>1450</v>
      </c>
      <c r="D17" s="80">
        <v>951</v>
      </c>
      <c r="E17" s="80">
        <v>452</v>
      </c>
      <c r="F17" s="81"/>
      <c r="G17" s="81"/>
      <c r="H17" s="82">
        <f t="shared" si="0"/>
        <v>2853</v>
      </c>
      <c r="I17" s="83">
        <f t="shared" si="1"/>
        <v>14</v>
      </c>
    </row>
    <row r="18" spans="2:9" ht="18">
      <c r="B18" s="80" t="s">
        <v>25</v>
      </c>
      <c r="C18" s="80">
        <v>1135</v>
      </c>
      <c r="D18" s="80">
        <v>1154</v>
      </c>
      <c r="E18" s="80">
        <v>327</v>
      </c>
      <c r="F18" s="81"/>
      <c r="G18" s="81"/>
      <c r="H18" s="82">
        <f t="shared" si="0"/>
        <v>2616</v>
      </c>
      <c r="I18" s="83">
        <f t="shared" si="1"/>
        <v>15</v>
      </c>
    </row>
    <row r="19" spans="2:9" ht="18">
      <c r="B19" s="80" t="s">
        <v>26</v>
      </c>
      <c r="C19" s="80">
        <v>0</v>
      </c>
      <c r="D19" s="80">
        <v>797</v>
      </c>
      <c r="E19" s="80">
        <v>585</v>
      </c>
      <c r="F19" s="81"/>
      <c r="G19" s="81"/>
      <c r="H19" s="82">
        <f t="shared" si="0"/>
        <v>1382</v>
      </c>
      <c r="I19" s="83">
        <f t="shared" si="1"/>
        <v>16</v>
      </c>
    </row>
    <row r="20" spans="2:9" ht="18">
      <c r="B20" s="80" t="s">
        <v>27</v>
      </c>
      <c r="C20" s="80">
        <v>0</v>
      </c>
      <c r="D20" s="80">
        <v>0</v>
      </c>
      <c r="E20" s="80">
        <v>0</v>
      </c>
      <c r="F20" s="81"/>
      <c r="G20" s="81"/>
      <c r="H20" s="82">
        <f t="shared" si="0"/>
        <v>0</v>
      </c>
      <c r="I20" s="83">
        <f t="shared" si="1"/>
        <v>17</v>
      </c>
    </row>
    <row r="21" spans="2:9" ht="18">
      <c r="B21" s="80" t="s">
        <v>28</v>
      </c>
      <c r="C21" s="80">
        <v>0</v>
      </c>
      <c r="D21" s="80">
        <v>0</v>
      </c>
      <c r="E21" s="80">
        <v>0</v>
      </c>
      <c r="F21" s="81"/>
      <c r="G21" s="81"/>
      <c r="H21" s="82">
        <f t="shared" si="0"/>
        <v>0</v>
      </c>
      <c r="I21" s="83">
        <f t="shared" si="1"/>
        <v>17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756"/>
  <sheetViews>
    <sheetView workbookViewId="0">
      <selection activeCell="J6" sqref="J6"/>
    </sheetView>
  </sheetViews>
  <sheetFormatPr defaultColWidth="12.5703125" defaultRowHeight="15.75" customHeight="1"/>
  <cols>
    <col min="1" max="1" width="15.7109375" style="11" customWidth="1"/>
    <col min="2" max="2" width="18.28515625" style="11" customWidth="1"/>
    <col min="3" max="7" width="8.85546875" style="15" customWidth="1"/>
    <col min="8" max="16384" width="12.5703125" style="11"/>
  </cols>
  <sheetData>
    <row r="1" spans="1:7" ht="15.75" customHeight="1" thickBot="1">
      <c r="A1" s="84" t="s">
        <v>29</v>
      </c>
      <c r="B1" s="85"/>
      <c r="C1" s="86"/>
      <c r="D1" s="86"/>
      <c r="E1" s="86"/>
      <c r="F1" s="86"/>
      <c r="G1" s="86"/>
    </row>
    <row r="2" spans="1:7" ht="15.75" customHeight="1" thickBot="1">
      <c r="A2" s="87" t="s">
        <v>30</v>
      </c>
      <c r="B2" s="87" t="s">
        <v>31</v>
      </c>
      <c r="C2" s="88">
        <v>1</v>
      </c>
      <c r="D2" s="88">
        <v>2</v>
      </c>
      <c r="E2" s="88">
        <v>3</v>
      </c>
      <c r="F2" s="88" t="s">
        <v>6</v>
      </c>
      <c r="G2" s="88" t="s">
        <v>7</v>
      </c>
    </row>
    <row r="3" spans="1:7" ht="15.75" customHeight="1" thickBot="1">
      <c r="A3" s="85" t="s">
        <v>32</v>
      </c>
      <c r="B3" s="85" t="s">
        <v>33</v>
      </c>
      <c r="C3" s="86">
        <v>94</v>
      </c>
      <c r="D3" s="86">
        <v>94</v>
      </c>
      <c r="E3" s="86">
        <v>96</v>
      </c>
      <c r="F3" s="86">
        <v>284</v>
      </c>
      <c r="G3" s="89">
        <v>1</v>
      </c>
    </row>
    <row r="4" spans="1:7" ht="15.75" customHeight="1" thickBot="1">
      <c r="A4" s="85" t="s">
        <v>34</v>
      </c>
      <c r="B4" s="85" t="s">
        <v>35</v>
      </c>
      <c r="C4" s="86">
        <v>96</v>
      </c>
      <c r="D4" s="86">
        <v>94</v>
      </c>
      <c r="E4" s="86">
        <v>93</v>
      </c>
      <c r="F4" s="86">
        <v>283</v>
      </c>
      <c r="G4" s="86">
        <v>2</v>
      </c>
    </row>
    <row r="5" spans="1:7" ht="15.75" customHeight="1" thickBot="1">
      <c r="A5" s="85" t="s">
        <v>36</v>
      </c>
      <c r="B5" s="85" t="s">
        <v>37</v>
      </c>
      <c r="C5" s="86">
        <v>95</v>
      </c>
      <c r="D5" s="86">
        <v>95</v>
      </c>
      <c r="E5" s="86">
        <v>92</v>
      </c>
      <c r="F5" s="86">
        <v>282</v>
      </c>
      <c r="G5" s="86">
        <v>3</v>
      </c>
    </row>
    <row r="6" spans="1:7" ht="15.75" customHeight="1" thickBot="1">
      <c r="A6" s="85" t="s">
        <v>40</v>
      </c>
      <c r="B6" s="85" t="s">
        <v>41</v>
      </c>
      <c r="C6" s="86">
        <v>98</v>
      </c>
      <c r="D6" s="86">
        <v>89</v>
      </c>
      <c r="E6" s="86">
        <v>94</v>
      </c>
      <c r="F6" s="86">
        <v>281</v>
      </c>
      <c r="G6" s="86">
        <v>4</v>
      </c>
    </row>
    <row r="7" spans="1:7" ht="15.75" customHeight="1" thickBot="1">
      <c r="A7" s="85" t="s">
        <v>38</v>
      </c>
      <c r="B7" s="85" t="s">
        <v>39</v>
      </c>
      <c r="C7" s="86">
        <v>97</v>
      </c>
      <c r="D7" s="86">
        <v>93</v>
      </c>
      <c r="E7" s="86">
        <v>91</v>
      </c>
      <c r="F7" s="86">
        <v>281</v>
      </c>
      <c r="G7" s="86">
        <v>5</v>
      </c>
    </row>
    <row r="8" spans="1:7" ht="15.75" customHeight="1" thickBot="1">
      <c r="A8" s="85" t="s">
        <v>42</v>
      </c>
      <c r="B8" s="85" t="s">
        <v>43</v>
      </c>
      <c r="C8" s="86">
        <v>92</v>
      </c>
      <c r="D8" s="86">
        <v>90</v>
      </c>
      <c r="E8" s="86">
        <v>95</v>
      </c>
      <c r="F8" s="86">
        <v>277</v>
      </c>
      <c r="G8" s="86">
        <v>6</v>
      </c>
    </row>
    <row r="9" spans="1:7" ht="15.75" customHeight="1" thickBot="1">
      <c r="A9" s="85" t="s">
        <v>44</v>
      </c>
      <c r="B9" s="85" t="s">
        <v>45</v>
      </c>
      <c r="C9" s="86">
        <v>91</v>
      </c>
      <c r="D9" s="86">
        <v>96</v>
      </c>
      <c r="E9" s="86">
        <v>90</v>
      </c>
      <c r="F9" s="86">
        <v>277</v>
      </c>
      <c r="G9" s="86">
        <v>7</v>
      </c>
    </row>
    <row r="10" spans="1:7" ht="15.75" customHeight="1" thickBot="1">
      <c r="A10" s="85" t="s">
        <v>46</v>
      </c>
      <c r="B10" s="85" t="s">
        <v>47</v>
      </c>
      <c r="C10" s="86">
        <v>92</v>
      </c>
      <c r="D10" s="86">
        <v>90</v>
      </c>
      <c r="E10" s="86">
        <v>93</v>
      </c>
      <c r="F10" s="86">
        <v>275</v>
      </c>
      <c r="G10" s="86">
        <v>8</v>
      </c>
    </row>
    <row r="11" spans="1:7" ht="15.75" customHeight="1" thickBot="1">
      <c r="A11" s="85" t="s">
        <v>48</v>
      </c>
      <c r="B11" s="85" t="s">
        <v>49</v>
      </c>
      <c r="C11" s="86">
        <v>92</v>
      </c>
      <c r="D11" s="86">
        <v>91</v>
      </c>
      <c r="E11" s="86">
        <v>91</v>
      </c>
      <c r="F11" s="86">
        <v>274</v>
      </c>
      <c r="G11" s="86">
        <v>9</v>
      </c>
    </row>
    <row r="12" spans="1:7" ht="15.75" customHeight="1" thickBot="1">
      <c r="A12" s="85" t="s">
        <v>52</v>
      </c>
      <c r="B12" s="85" t="s">
        <v>53</v>
      </c>
      <c r="C12" s="86">
        <v>90</v>
      </c>
      <c r="D12" s="86">
        <v>89</v>
      </c>
      <c r="E12" s="86">
        <v>94</v>
      </c>
      <c r="F12" s="86">
        <v>273</v>
      </c>
      <c r="G12" s="86">
        <v>10</v>
      </c>
    </row>
    <row r="13" spans="1:7" ht="15.75" customHeight="1" thickBot="1">
      <c r="A13" s="85" t="s">
        <v>50</v>
      </c>
      <c r="B13" s="85" t="s">
        <v>51</v>
      </c>
      <c r="C13" s="86">
        <v>94</v>
      </c>
      <c r="D13" s="86">
        <v>89</v>
      </c>
      <c r="E13" s="86">
        <v>90</v>
      </c>
      <c r="F13" s="86">
        <v>273</v>
      </c>
      <c r="G13" s="86">
        <v>11</v>
      </c>
    </row>
    <row r="14" spans="1:7" ht="15.75" customHeight="1" thickBot="1">
      <c r="A14" s="85" t="s">
        <v>56</v>
      </c>
      <c r="B14" s="85" t="s">
        <v>57</v>
      </c>
      <c r="C14" s="86">
        <v>89</v>
      </c>
      <c r="D14" s="86">
        <v>89</v>
      </c>
      <c r="E14" s="86">
        <v>94</v>
      </c>
      <c r="F14" s="86">
        <v>272</v>
      </c>
      <c r="G14" s="86">
        <v>12</v>
      </c>
    </row>
    <row r="15" spans="1:7" ht="15.75" customHeight="1" thickBot="1">
      <c r="A15" s="85" t="s">
        <v>54</v>
      </c>
      <c r="B15" s="85" t="s">
        <v>55</v>
      </c>
      <c r="C15" s="86">
        <v>89</v>
      </c>
      <c r="D15" s="86">
        <v>92</v>
      </c>
      <c r="E15" s="86">
        <v>91</v>
      </c>
      <c r="F15" s="86">
        <v>272</v>
      </c>
      <c r="G15" s="86">
        <v>13</v>
      </c>
    </row>
    <row r="16" spans="1:7" ht="15.75" customHeight="1" thickBot="1">
      <c r="A16" s="85" t="s">
        <v>58</v>
      </c>
      <c r="B16" s="85" t="s">
        <v>59</v>
      </c>
      <c r="C16" s="86">
        <v>87</v>
      </c>
      <c r="D16" s="86">
        <v>95</v>
      </c>
      <c r="E16" s="86">
        <v>89</v>
      </c>
      <c r="F16" s="86">
        <v>271</v>
      </c>
      <c r="G16" s="86">
        <v>14</v>
      </c>
    </row>
    <row r="17" spans="1:7" ht="15.75" customHeight="1" thickBot="1">
      <c r="A17" s="85" t="s">
        <v>64</v>
      </c>
      <c r="B17" s="85" t="s">
        <v>49</v>
      </c>
      <c r="C17" s="86">
        <v>87</v>
      </c>
      <c r="D17" s="86">
        <v>92</v>
      </c>
      <c r="E17" s="86">
        <v>91</v>
      </c>
      <c r="F17" s="86">
        <v>270</v>
      </c>
      <c r="G17" s="86">
        <v>15</v>
      </c>
    </row>
    <row r="18" spans="1:7" ht="15.75" customHeight="1" thickBot="1">
      <c r="A18" s="85" t="s">
        <v>60</v>
      </c>
      <c r="B18" s="85" t="s">
        <v>61</v>
      </c>
      <c r="C18" s="86">
        <v>89</v>
      </c>
      <c r="D18" s="86">
        <v>90</v>
      </c>
      <c r="E18" s="86">
        <v>91</v>
      </c>
      <c r="F18" s="86">
        <v>270</v>
      </c>
      <c r="G18" s="86">
        <v>16</v>
      </c>
    </row>
    <row r="19" spans="1:7" ht="15.75" customHeight="1" thickBot="1">
      <c r="A19" s="85" t="s">
        <v>62</v>
      </c>
      <c r="B19" s="85" t="s">
        <v>63</v>
      </c>
      <c r="C19" s="86">
        <v>90</v>
      </c>
      <c r="D19" s="86">
        <v>94</v>
      </c>
      <c r="E19" s="86">
        <v>86</v>
      </c>
      <c r="F19" s="86">
        <v>270</v>
      </c>
      <c r="G19" s="86">
        <v>17</v>
      </c>
    </row>
    <row r="20" spans="1:7" ht="15.75" customHeight="1" thickBot="1">
      <c r="A20" s="85" t="s">
        <v>65</v>
      </c>
      <c r="B20" s="85" t="s">
        <v>66</v>
      </c>
      <c r="C20" s="86">
        <v>91</v>
      </c>
      <c r="D20" s="86">
        <v>87</v>
      </c>
      <c r="E20" s="86">
        <v>91</v>
      </c>
      <c r="F20" s="86">
        <v>269</v>
      </c>
      <c r="G20" s="86">
        <v>18</v>
      </c>
    </row>
    <row r="21" spans="1:7" ht="15.75" customHeight="1" thickBot="1">
      <c r="A21" s="85" t="s">
        <v>48</v>
      </c>
      <c r="B21" s="85" t="s">
        <v>67</v>
      </c>
      <c r="C21" s="86">
        <v>91</v>
      </c>
      <c r="D21" s="86">
        <v>89</v>
      </c>
      <c r="E21" s="86">
        <v>89</v>
      </c>
      <c r="F21" s="86">
        <v>269</v>
      </c>
      <c r="G21" s="86">
        <v>18</v>
      </c>
    </row>
    <row r="22" spans="1:7" ht="15.75" customHeight="1" thickBot="1">
      <c r="A22" s="85" t="s">
        <v>68</v>
      </c>
      <c r="B22" s="85" t="s">
        <v>69</v>
      </c>
      <c r="C22" s="86">
        <v>93</v>
      </c>
      <c r="D22" s="86">
        <v>89</v>
      </c>
      <c r="E22" s="86">
        <v>86</v>
      </c>
      <c r="F22" s="86">
        <v>268</v>
      </c>
      <c r="G22" s="86">
        <v>20</v>
      </c>
    </row>
    <row r="23" spans="1:7" ht="15.75" customHeight="1" thickBot="1">
      <c r="A23" s="85" t="s">
        <v>70</v>
      </c>
      <c r="B23" s="85" t="s">
        <v>71</v>
      </c>
      <c r="C23" s="86">
        <v>90</v>
      </c>
      <c r="D23" s="86">
        <v>90</v>
      </c>
      <c r="E23" s="86">
        <v>87</v>
      </c>
      <c r="F23" s="86">
        <v>267</v>
      </c>
      <c r="G23" s="86">
        <v>21</v>
      </c>
    </row>
    <row r="24" spans="1:7" ht="15.75" customHeight="1" thickBot="1">
      <c r="A24" s="85" t="s">
        <v>72</v>
      </c>
      <c r="B24" s="85" t="s">
        <v>73</v>
      </c>
      <c r="C24" s="86">
        <v>86</v>
      </c>
      <c r="D24" s="86">
        <v>94</v>
      </c>
      <c r="E24" s="86">
        <v>86</v>
      </c>
      <c r="F24" s="86">
        <v>266</v>
      </c>
      <c r="G24" s="86">
        <v>22</v>
      </c>
    </row>
    <row r="25" spans="1:7" ht="15.75" customHeight="1" thickBot="1">
      <c r="A25" s="85" t="s">
        <v>76</v>
      </c>
      <c r="B25" s="85" t="s">
        <v>77</v>
      </c>
      <c r="C25" s="86">
        <v>90</v>
      </c>
      <c r="D25" s="86">
        <v>84</v>
      </c>
      <c r="E25" s="86">
        <v>90</v>
      </c>
      <c r="F25" s="86">
        <v>264</v>
      </c>
      <c r="G25" s="86">
        <v>23</v>
      </c>
    </row>
    <row r="26" spans="1:7" ht="15.75" customHeight="1" thickBot="1">
      <c r="A26" s="85" t="s">
        <v>78</v>
      </c>
      <c r="B26" s="85" t="s">
        <v>79</v>
      </c>
      <c r="C26" s="86">
        <v>86</v>
      </c>
      <c r="D26" s="86">
        <v>89</v>
      </c>
      <c r="E26" s="86">
        <v>89</v>
      </c>
      <c r="F26" s="86">
        <v>264</v>
      </c>
      <c r="G26" s="86">
        <v>24</v>
      </c>
    </row>
    <row r="27" spans="1:7" ht="15.75" customHeight="1" thickBot="1">
      <c r="A27" s="85" t="s">
        <v>80</v>
      </c>
      <c r="B27" s="85" t="s">
        <v>81</v>
      </c>
      <c r="C27" s="86">
        <v>91</v>
      </c>
      <c r="D27" s="86">
        <v>84</v>
      </c>
      <c r="E27" s="86">
        <v>89</v>
      </c>
      <c r="F27" s="86">
        <v>264</v>
      </c>
      <c r="G27" s="86">
        <v>25</v>
      </c>
    </row>
    <row r="28" spans="1:7" ht="15.75" customHeight="1" thickBot="1">
      <c r="A28" s="85" t="s">
        <v>74</v>
      </c>
      <c r="B28" s="85" t="s">
        <v>75</v>
      </c>
      <c r="C28" s="86">
        <v>88</v>
      </c>
      <c r="D28" s="86">
        <v>90</v>
      </c>
      <c r="E28" s="86">
        <v>86</v>
      </c>
      <c r="F28" s="86">
        <v>264</v>
      </c>
      <c r="G28" s="86">
        <v>26</v>
      </c>
    </row>
    <row r="29" spans="1:7" ht="15.75" customHeight="1" thickBot="1">
      <c r="A29" s="85" t="s">
        <v>89</v>
      </c>
      <c r="B29" s="85" t="s">
        <v>90</v>
      </c>
      <c r="C29" s="86">
        <v>81</v>
      </c>
      <c r="D29" s="86">
        <v>92</v>
      </c>
      <c r="E29" s="86">
        <v>90</v>
      </c>
      <c r="F29" s="86">
        <v>263</v>
      </c>
      <c r="G29" s="86">
        <v>27</v>
      </c>
    </row>
    <row r="30" spans="1:7" ht="15.75" customHeight="1" thickBot="1">
      <c r="A30" s="85" t="s">
        <v>74</v>
      </c>
      <c r="B30" s="85" t="s">
        <v>88</v>
      </c>
      <c r="C30" s="86">
        <v>87</v>
      </c>
      <c r="D30" s="86">
        <v>86</v>
      </c>
      <c r="E30" s="86">
        <v>90</v>
      </c>
      <c r="F30" s="86">
        <v>263</v>
      </c>
      <c r="G30" s="86">
        <v>28</v>
      </c>
    </row>
    <row r="31" spans="1:7" ht="15.75" customHeight="1" thickBot="1">
      <c r="A31" s="85" t="s">
        <v>86</v>
      </c>
      <c r="B31" s="85" t="s">
        <v>87</v>
      </c>
      <c r="C31" s="86">
        <v>88</v>
      </c>
      <c r="D31" s="86">
        <v>85</v>
      </c>
      <c r="E31" s="86">
        <v>90</v>
      </c>
      <c r="F31" s="86">
        <v>263</v>
      </c>
      <c r="G31" s="86">
        <v>29</v>
      </c>
    </row>
    <row r="32" spans="1:7" ht="15.75" customHeight="1" thickBot="1">
      <c r="A32" s="85" t="s">
        <v>82</v>
      </c>
      <c r="B32" s="85" t="s">
        <v>83</v>
      </c>
      <c r="C32" s="86">
        <v>89</v>
      </c>
      <c r="D32" s="86">
        <v>84</v>
      </c>
      <c r="E32" s="86">
        <v>90</v>
      </c>
      <c r="F32" s="86">
        <v>263</v>
      </c>
      <c r="G32" s="86">
        <v>30</v>
      </c>
    </row>
    <row r="33" spans="1:7" ht="15.75" customHeight="1" thickBot="1">
      <c r="A33" s="85" t="s">
        <v>84</v>
      </c>
      <c r="B33" s="85" t="s">
        <v>85</v>
      </c>
      <c r="C33" s="86">
        <v>91</v>
      </c>
      <c r="D33" s="86">
        <v>84</v>
      </c>
      <c r="E33" s="86">
        <v>88</v>
      </c>
      <c r="F33" s="86">
        <v>263</v>
      </c>
      <c r="G33" s="86">
        <v>31</v>
      </c>
    </row>
    <row r="34" spans="1:7" ht="15.75" customHeight="1" thickBot="1">
      <c r="A34" s="85" t="s">
        <v>91</v>
      </c>
      <c r="B34" s="85" t="s">
        <v>92</v>
      </c>
      <c r="C34" s="86">
        <v>87</v>
      </c>
      <c r="D34" s="86">
        <v>90</v>
      </c>
      <c r="E34" s="86">
        <v>85</v>
      </c>
      <c r="F34" s="86">
        <v>262</v>
      </c>
      <c r="G34" s="86">
        <v>32</v>
      </c>
    </row>
    <row r="35" spans="1:7" ht="15.75" customHeight="1" thickBot="1">
      <c r="A35" s="85" t="s">
        <v>93</v>
      </c>
      <c r="B35" s="85" t="s">
        <v>94</v>
      </c>
      <c r="C35" s="86">
        <v>85</v>
      </c>
      <c r="D35" s="86">
        <v>84</v>
      </c>
      <c r="E35" s="86">
        <v>91</v>
      </c>
      <c r="F35" s="86">
        <v>260</v>
      </c>
      <c r="G35" s="86">
        <v>33</v>
      </c>
    </row>
    <row r="36" spans="1:7" ht="15.75" customHeight="1" thickBot="1">
      <c r="A36" s="85" t="s">
        <v>97</v>
      </c>
      <c r="B36" s="85" t="s">
        <v>98</v>
      </c>
      <c r="C36" s="86">
        <v>86</v>
      </c>
      <c r="D36" s="86">
        <v>86</v>
      </c>
      <c r="E36" s="86">
        <v>88</v>
      </c>
      <c r="F36" s="86">
        <v>260</v>
      </c>
      <c r="G36" s="86">
        <v>34</v>
      </c>
    </row>
    <row r="37" spans="1:7" ht="15.75" customHeight="1" thickBot="1">
      <c r="A37" s="85" t="s">
        <v>95</v>
      </c>
      <c r="B37" s="85" t="s">
        <v>96</v>
      </c>
      <c r="C37" s="86">
        <v>88</v>
      </c>
      <c r="D37" s="86">
        <v>86</v>
      </c>
      <c r="E37" s="86">
        <v>86</v>
      </c>
      <c r="F37" s="86">
        <v>260</v>
      </c>
      <c r="G37" s="86">
        <v>35</v>
      </c>
    </row>
    <row r="38" spans="1:7" ht="15.75" customHeight="1" thickBot="1">
      <c r="A38" s="85" t="s">
        <v>99</v>
      </c>
      <c r="B38" s="85" t="s">
        <v>100</v>
      </c>
      <c r="C38" s="86">
        <v>83</v>
      </c>
      <c r="D38" s="86">
        <v>85</v>
      </c>
      <c r="E38" s="86">
        <v>91</v>
      </c>
      <c r="F38" s="86">
        <v>259</v>
      </c>
      <c r="G38" s="86">
        <v>36</v>
      </c>
    </row>
    <row r="39" spans="1:7" ht="15.75" customHeight="1" thickBot="1">
      <c r="A39" s="85" t="s">
        <v>101</v>
      </c>
      <c r="B39" s="85" t="s">
        <v>102</v>
      </c>
      <c r="C39" s="86">
        <v>84</v>
      </c>
      <c r="D39" s="86">
        <v>85</v>
      </c>
      <c r="E39" s="86">
        <v>90</v>
      </c>
      <c r="F39" s="86">
        <v>259</v>
      </c>
      <c r="G39" s="86">
        <v>37</v>
      </c>
    </row>
    <row r="40" spans="1:7" ht="15.75" customHeight="1" thickBot="1">
      <c r="A40" s="85" t="s">
        <v>34</v>
      </c>
      <c r="B40" s="85" t="s">
        <v>103</v>
      </c>
      <c r="C40" s="86">
        <v>87</v>
      </c>
      <c r="D40" s="86">
        <v>85</v>
      </c>
      <c r="E40" s="86">
        <v>85</v>
      </c>
      <c r="F40" s="86">
        <v>257</v>
      </c>
      <c r="G40" s="86">
        <v>38</v>
      </c>
    </row>
    <row r="41" spans="1:7" ht="15.75" customHeight="1" thickBot="1">
      <c r="A41" s="85" t="s">
        <v>106</v>
      </c>
      <c r="B41" s="85" t="s">
        <v>107</v>
      </c>
      <c r="C41" s="86">
        <v>77</v>
      </c>
      <c r="D41" s="86">
        <v>88</v>
      </c>
      <c r="E41" s="86">
        <v>91</v>
      </c>
      <c r="F41" s="86">
        <v>256</v>
      </c>
      <c r="G41" s="86">
        <v>39</v>
      </c>
    </row>
    <row r="42" spans="1:7" ht="15.75" customHeight="1" thickBot="1">
      <c r="A42" s="85" t="s">
        <v>104</v>
      </c>
      <c r="B42" s="85" t="s">
        <v>105</v>
      </c>
      <c r="C42" s="86">
        <v>87</v>
      </c>
      <c r="D42" s="86">
        <v>83</v>
      </c>
      <c r="E42" s="86">
        <v>86</v>
      </c>
      <c r="F42" s="86">
        <v>256</v>
      </c>
      <c r="G42" s="86">
        <v>40</v>
      </c>
    </row>
    <row r="43" spans="1:7" ht="15.75" customHeight="1" thickBot="1">
      <c r="A43" s="85" t="s">
        <v>108</v>
      </c>
      <c r="B43" s="85" t="s">
        <v>109</v>
      </c>
      <c r="C43" s="86">
        <v>84</v>
      </c>
      <c r="D43" s="86">
        <v>85</v>
      </c>
      <c r="E43" s="86">
        <v>86</v>
      </c>
      <c r="F43" s="86">
        <v>255</v>
      </c>
      <c r="G43" s="86">
        <v>41</v>
      </c>
    </row>
    <row r="44" spans="1:7" ht="15.75" customHeight="1" thickBot="1">
      <c r="A44" s="85" t="s">
        <v>112</v>
      </c>
      <c r="B44" s="85" t="s">
        <v>113</v>
      </c>
      <c r="C44" s="86">
        <v>76</v>
      </c>
      <c r="D44" s="86">
        <v>88</v>
      </c>
      <c r="E44" s="86">
        <v>90</v>
      </c>
      <c r="F44" s="86">
        <v>254</v>
      </c>
      <c r="G44" s="86">
        <v>42</v>
      </c>
    </row>
    <row r="45" spans="1:7" ht="15.75" customHeight="1" thickBot="1">
      <c r="A45" s="85" t="s">
        <v>110</v>
      </c>
      <c r="B45" s="85" t="s">
        <v>111</v>
      </c>
      <c r="C45" s="86">
        <v>86</v>
      </c>
      <c r="D45" s="86">
        <v>82</v>
      </c>
      <c r="E45" s="86">
        <v>86</v>
      </c>
      <c r="F45" s="86">
        <v>254</v>
      </c>
      <c r="G45" s="86">
        <v>43</v>
      </c>
    </row>
    <row r="46" spans="1:7" ht="15.75" customHeight="1" thickBot="1">
      <c r="A46" s="85" t="s">
        <v>114</v>
      </c>
      <c r="B46" s="85" t="s">
        <v>115</v>
      </c>
      <c r="C46" s="86">
        <v>82</v>
      </c>
      <c r="D46" s="86">
        <v>81</v>
      </c>
      <c r="E46" s="86">
        <v>90</v>
      </c>
      <c r="F46" s="86">
        <v>253</v>
      </c>
      <c r="G46" s="86">
        <v>44</v>
      </c>
    </row>
    <row r="47" spans="1:7" ht="15.75" customHeight="1" thickBot="1">
      <c r="A47" s="85" t="s">
        <v>116</v>
      </c>
      <c r="B47" s="85" t="s">
        <v>117</v>
      </c>
      <c r="C47" s="86">
        <v>75</v>
      </c>
      <c r="D47" s="86">
        <v>86</v>
      </c>
      <c r="E47" s="86">
        <v>91</v>
      </c>
      <c r="F47" s="86">
        <v>252</v>
      </c>
      <c r="G47" s="86">
        <v>45</v>
      </c>
    </row>
    <row r="48" spans="1:7" ht="15.75" customHeight="1" thickBot="1">
      <c r="A48" s="85" t="s">
        <v>118</v>
      </c>
      <c r="B48" s="85" t="s">
        <v>119</v>
      </c>
      <c r="C48" s="86">
        <v>82</v>
      </c>
      <c r="D48" s="86">
        <v>85</v>
      </c>
      <c r="E48" s="86">
        <v>85</v>
      </c>
      <c r="F48" s="86">
        <v>252</v>
      </c>
      <c r="G48" s="86">
        <v>46</v>
      </c>
    </row>
    <row r="49" spans="1:7" ht="15.75" customHeight="1" thickBot="1">
      <c r="A49" s="85" t="s">
        <v>122</v>
      </c>
      <c r="B49" s="85" t="s">
        <v>123</v>
      </c>
      <c r="C49" s="86">
        <v>79</v>
      </c>
      <c r="D49" s="86">
        <v>85</v>
      </c>
      <c r="E49" s="86">
        <v>87</v>
      </c>
      <c r="F49" s="86">
        <v>251</v>
      </c>
      <c r="G49" s="86">
        <v>47</v>
      </c>
    </row>
    <row r="50" spans="1:7" ht="15.75" customHeight="1" thickBot="1">
      <c r="A50" s="85" t="s">
        <v>120</v>
      </c>
      <c r="B50" s="85" t="s">
        <v>121</v>
      </c>
      <c r="C50" s="86">
        <v>83</v>
      </c>
      <c r="D50" s="86">
        <v>83</v>
      </c>
      <c r="E50" s="86">
        <v>85</v>
      </c>
      <c r="F50" s="86">
        <v>251</v>
      </c>
      <c r="G50" s="86">
        <v>48</v>
      </c>
    </row>
    <row r="51" spans="1:7" ht="15.75" customHeight="1" thickBot="1">
      <c r="A51" s="85" t="s">
        <v>126</v>
      </c>
      <c r="B51" s="85" t="s">
        <v>127</v>
      </c>
      <c r="C51" s="86">
        <v>81</v>
      </c>
      <c r="D51" s="86">
        <v>89</v>
      </c>
      <c r="E51" s="86">
        <v>81</v>
      </c>
      <c r="F51" s="86">
        <v>251</v>
      </c>
      <c r="G51" s="86">
        <v>49</v>
      </c>
    </row>
    <row r="52" spans="1:7" ht="15.75" customHeight="1" thickBot="1">
      <c r="A52" s="85" t="s">
        <v>124</v>
      </c>
      <c r="B52" s="85" t="s">
        <v>125</v>
      </c>
      <c r="C52" s="86">
        <v>89</v>
      </c>
      <c r="D52" s="86">
        <v>87</v>
      </c>
      <c r="E52" s="86">
        <v>75</v>
      </c>
      <c r="F52" s="86">
        <v>251</v>
      </c>
      <c r="G52" s="86">
        <v>50</v>
      </c>
    </row>
    <row r="53" spans="1:7" ht="15.75" customHeight="1" thickBot="1">
      <c r="A53" s="85" t="s">
        <v>128</v>
      </c>
      <c r="B53" s="85" t="s">
        <v>129</v>
      </c>
      <c r="C53" s="86">
        <v>82</v>
      </c>
      <c r="D53" s="86">
        <v>79</v>
      </c>
      <c r="E53" s="86">
        <v>89</v>
      </c>
      <c r="F53" s="86">
        <v>250</v>
      </c>
      <c r="G53" s="86">
        <v>51</v>
      </c>
    </row>
    <row r="54" spans="1:7" ht="15.75" customHeight="1" thickBot="1">
      <c r="A54" s="85" t="s">
        <v>130</v>
      </c>
      <c r="B54" s="85" t="s">
        <v>131</v>
      </c>
      <c r="C54" s="86">
        <v>82</v>
      </c>
      <c r="D54" s="86">
        <v>84</v>
      </c>
      <c r="E54" s="86">
        <v>83</v>
      </c>
      <c r="F54" s="86">
        <v>249</v>
      </c>
      <c r="G54" s="86">
        <v>52</v>
      </c>
    </row>
    <row r="55" spans="1:7" ht="15.75" customHeight="1" thickBot="1">
      <c r="A55" s="85" t="s">
        <v>134</v>
      </c>
      <c r="B55" s="85" t="s">
        <v>135</v>
      </c>
      <c r="C55" s="86">
        <v>78</v>
      </c>
      <c r="D55" s="86">
        <v>86</v>
      </c>
      <c r="E55" s="86">
        <v>84</v>
      </c>
      <c r="F55" s="86">
        <v>248</v>
      </c>
      <c r="G55" s="86">
        <v>53</v>
      </c>
    </row>
    <row r="56" spans="1:7" ht="15.75" customHeight="1" thickBot="1">
      <c r="A56" s="85" t="s">
        <v>132</v>
      </c>
      <c r="B56" s="85" t="s">
        <v>133</v>
      </c>
      <c r="C56" s="86">
        <v>84</v>
      </c>
      <c r="D56" s="86">
        <v>87</v>
      </c>
      <c r="E56" s="86">
        <v>77</v>
      </c>
      <c r="F56" s="86">
        <v>248</v>
      </c>
      <c r="G56" s="86">
        <v>54</v>
      </c>
    </row>
    <row r="57" spans="1:7" ht="15.75" customHeight="1" thickBot="1">
      <c r="A57" s="85" t="s">
        <v>139</v>
      </c>
      <c r="B57" s="85" t="s">
        <v>138</v>
      </c>
      <c r="C57" s="86">
        <v>78</v>
      </c>
      <c r="D57" s="86">
        <v>84</v>
      </c>
      <c r="E57" s="86">
        <v>85</v>
      </c>
      <c r="F57" s="86">
        <v>247</v>
      </c>
      <c r="G57" s="86">
        <v>55</v>
      </c>
    </row>
    <row r="58" spans="1:7" ht="15.75" customHeight="1" thickBot="1">
      <c r="A58" s="85" t="s">
        <v>101</v>
      </c>
      <c r="B58" s="85" t="s">
        <v>138</v>
      </c>
      <c r="C58" s="86">
        <v>82</v>
      </c>
      <c r="D58" s="86">
        <v>82</v>
      </c>
      <c r="E58" s="86">
        <v>83</v>
      </c>
      <c r="F58" s="86">
        <v>247</v>
      </c>
      <c r="G58" s="86">
        <v>56</v>
      </c>
    </row>
    <row r="59" spans="1:7" ht="15.75" customHeight="1" thickBot="1">
      <c r="A59" s="85" t="s">
        <v>136</v>
      </c>
      <c r="B59" s="85" t="s">
        <v>137</v>
      </c>
      <c r="C59" s="86">
        <v>82</v>
      </c>
      <c r="D59" s="86">
        <v>83</v>
      </c>
      <c r="E59" s="86">
        <v>82</v>
      </c>
      <c r="F59" s="86">
        <v>247</v>
      </c>
      <c r="G59" s="86">
        <v>57</v>
      </c>
    </row>
    <row r="60" spans="1:7" ht="15.75" customHeight="1" thickBot="1">
      <c r="A60" s="85" t="s">
        <v>140</v>
      </c>
      <c r="B60" s="85" t="s">
        <v>141</v>
      </c>
      <c r="C60" s="86">
        <v>81</v>
      </c>
      <c r="D60" s="86">
        <v>81</v>
      </c>
      <c r="E60" s="86">
        <v>84</v>
      </c>
      <c r="F60" s="86">
        <v>246</v>
      </c>
      <c r="G60" s="86">
        <v>58</v>
      </c>
    </row>
    <row r="61" spans="1:7" ht="15.75" customHeight="1" thickBot="1">
      <c r="A61" s="85" t="s">
        <v>142</v>
      </c>
      <c r="B61" s="85" t="s">
        <v>143</v>
      </c>
      <c r="C61" s="86">
        <v>80</v>
      </c>
      <c r="D61" s="86">
        <v>76</v>
      </c>
      <c r="E61" s="86">
        <v>89</v>
      </c>
      <c r="F61" s="86">
        <v>245</v>
      </c>
      <c r="G61" s="86">
        <v>59</v>
      </c>
    </row>
    <row r="62" spans="1:7" ht="15.75" customHeight="1" thickBot="1">
      <c r="A62" s="85" t="s">
        <v>144</v>
      </c>
      <c r="B62" s="85" t="s">
        <v>145</v>
      </c>
      <c r="C62" s="86">
        <v>82</v>
      </c>
      <c r="D62" s="86">
        <v>79</v>
      </c>
      <c r="E62" s="86">
        <v>83</v>
      </c>
      <c r="F62" s="86">
        <v>244</v>
      </c>
      <c r="G62" s="86">
        <v>60</v>
      </c>
    </row>
    <row r="63" spans="1:7" ht="15.75" customHeight="1" thickBot="1">
      <c r="A63" s="85" t="s">
        <v>148</v>
      </c>
      <c r="B63" s="85" t="s">
        <v>149</v>
      </c>
      <c r="C63" s="86">
        <v>84</v>
      </c>
      <c r="D63" s="86">
        <v>76</v>
      </c>
      <c r="E63" s="86">
        <v>83</v>
      </c>
      <c r="F63" s="86">
        <v>243</v>
      </c>
      <c r="G63" s="86">
        <v>61</v>
      </c>
    </row>
    <row r="64" spans="1:7" ht="15.75" customHeight="1" thickBot="1">
      <c r="A64" s="85" t="s">
        <v>139</v>
      </c>
      <c r="B64" s="85" t="s">
        <v>151</v>
      </c>
      <c r="C64" s="86">
        <v>87</v>
      </c>
      <c r="D64" s="86">
        <v>75</v>
      </c>
      <c r="E64" s="86">
        <v>81</v>
      </c>
      <c r="F64" s="86">
        <v>243</v>
      </c>
      <c r="G64" s="86">
        <v>62</v>
      </c>
    </row>
    <row r="65" spans="1:7" ht="15.75" customHeight="1" thickBot="1">
      <c r="A65" s="85" t="s">
        <v>146</v>
      </c>
      <c r="B65" s="85" t="s">
        <v>147</v>
      </c>
      <c r="C65" s="86">
        <v>78</v>
      </c>
      <c r="D65" s="86">
        <v>85</v>
      </c>
      <c r="E65" s="86">
        <v>80</v>
      </c>
      <c r="F65" s="86">
        <v>243</v>
      </c>
      <c r="G65" s="86">
        <v>63</v>
      </c>
    </row>
    <row r="66" spans="1:7" ht="15.75" customHeight="1" thickBot="1">
      <c r="A66" s="85" t="s">
        <v>34</v>
      </c>
      <c r="B66" s="85" t="s">
        <v>150</v>
      </c>
      <c r="C66" s="86">
        <v>82</v>
      </c>
      <c r="D66" s="86">
        <v>82</v>
      </c>
      <c r="E66" s="86">
        <v>79</v>
      </c>
      <c r="F66" s="86">
        <v>243</v>
      </c>
      <c r="G66" s="86">
        <v>64</v>
      </c>
    </row>
    <row r="67" spans="1:7" ht="15.75" customHeight="1" thickBot="1">
      <c r="A67" s="85" t="s">
        <v>152</v>
      </c>
      <c r="B67" s="85" t="s">
        <v>153</v>
      </c>
      <c r="C67" s="86">
        <v>83</v>
      </c>
      <c r="D67" s="86">
        <v>84</v>
      </c>
      <c r="E67" s="86">
        <v>76</v>
      </c>
      <c r="F67" s="86">
        <v>243</v>
      </c>
      <c r="G67" s="86">
        <v>65</v>
      </c>
    </row>
    <row r="68" spans="1:7" ht="15.75" customHeight="1" thickBot="1">
      <c r="A68" s="85" t="s">
        <v>158</v>
      </c>
      <c r="B68" s="85" t="s">
        <v>159</v>
      </c>
      <c r="C68" s="86">
        <v>73</v>
      </c>
      <c r="D68" s="86">
        <v>84</v>
      </c>
      <c r="E68" s="86">
        <v>84</v>
      </c>
      <c r="F68" s="86">
        <v>241</v>
      </c>
      <c r="G68" s="86">
        <v>66</v>
      </c>
    </row>
    <row r="69" spans="1:7" ht="15.75" customHeight="1" thickBot="1">
      <c r="A69" s="85" t="s">
        <v>154</v>
      </c>
      <c r="B69" s="85" t="s">
        <v>109</v>
      </c>
      <c r="C69" s="86">
        <v>82</v>
      </c>
      <c r="D69" s="86">
        <v>76</v>
      </c>
      <c r="E69" s="86">
        <v>83</v>
      </c>
      <c r="F69" s="86">
        <v>241</v>
      </c>
      <c r="G69" s="86">
        <v>67</v>
      </c>
    </row>
    <row r="70" spans="1:7" ht="15.75" customHeight="1" thickBot="1">
      <c r="A70" s="85" t="s">
        <v>155</v>
      </c>
      <c r="B70" s="85" t="s">
        <v>156</v>
      </c>
      <c r="C70" s="86">
        <v>78</v>
      </c>
      <c r="D70" s="86">
        <v>82</v>
      </c>
      <c r="E70" s="86">
        <v>81</v>
      </c>
      <c r="F70" s="86">
        <v>241</v>
      </c>
      <c r="G70" s="86">
        <v>68</v>
      </c>
    </row>
    <row r="71" spans="1:7" ht="15.75" customHeight="1" thickBot="1">
      <c r="A71" s="85" t="s">
        <v>34</v>
      </c>
      <c r="B71" s="85" t="s">
        <v>157</v>
      </c>
      <c r="C71" s="86">
        <v>80</v>
      </c>
      <c r="D71" s="86">
        <v>81</v>
      </c>
      <c r="E71" s="86">
        <v>80</v>
      </c>
      <c r="F71" s="86">
        <v>241</v>
      </c>
      <c r="G71" s="86">
        <v>69</v>
      </c>
    </row>
    <row r="72" spans="1:7" ht="15.75" customHeight="1" thickBot="1">
      <c r="A72" s="85" t="s">
        <v>160</v>
      </c>
      <c r="B72" s="85" t="s">
        <v>161</v>
      </c>
      <c r="C72" s="86">
        <v>82</v>
      </c>
      <c r="D72" s="86">
        <v>76</v>
      </c>
      <c r="E72" s="86">
        <v>82</v>
      </c>
      <c r="F72" s="86">
        <v>240</v>
      </c>
      <c r="G72" s="86">
        <v>70</v>
      </c>
    </row>
    <row r="73" spans="1:7" ht="15.75" customHeight="1" thickBot="1">
      <c r="A73" s="85" t="s">
        <v>162</v>
      </c>
      <c r="B73" s="85" t="s">
        <v>163</v>
      </c>
      <c r="C73" s="86">
        <v>83</v>
      </c>
      <c r="D73" s="86">
        <v>74</v>
      </c>
      <c r="E73" s="86">
        <v>81</v>
      </c>
      <c r="F73" s="86">
        <v>238</v>
      </c>
      <c r="G73" s="86">
        <v>71</v>
      </c>
    </row>
    <row r="74" spans="1:7" ht="15.75" customHeight="1" thickBot="1">
      <c r="A74" s="85" t="s">
        <v>110</v>
      </c>
      <c r="B74" s="85" t="s">
        <v>107</v>
      </c>
      <c r="C74" s="86">
        <v>74</v>
      </c>
      <c r="D74" s="86">
        <v>73</v>
      </c>
      <c r="E74" s="86">
        <v>90</v>
      </c>
      <c r="F74" s="86">
        <v>237</v>
      </c>
      <c r="G74" s="86">
        <v>72</v>
      </c>
    </row>
    <row r="75" spans="1:7" ht="15.75" customHeight="1" thickBot="1">
      <c r="A75" s="85" t="s">
        <v>52</v>
      </c>
      <c r="B75" s="85" t="s">
        <v>164</v>
      </c>
      <c r="C75" s="86">
        <v>85</v>
      </c>
      <c r="D75" s="86">
        <v>77</v>
      </c>
      <c r="E75" s="86">
        <v>75</v>
      </c>
      <c r="F75" s="86">
        <v>237</v>
      </c>
      <c r="G75" s="86">
        <v>73</v>
      </c>
    </row>
    <row r="76" spans="1:7" ht="15.75" customHeight="1" thickBot="1">
      <c r="A76" s="85" t="s">
        <v>165</v>
      </c>
      <c r="B76" s="85" t="s">
        <v>166</v>
      </c>
      <c r="C76" s="86">
        <v>68</v>
      </c>
      <c r="D76" s="86">
        <v>86</v>
      </c>
      <c r="E76" s="86">
        <v>82</v>
      </c>
      <c r="F76" s="86">
        <v>236</v>
      </c>
      <c r="G76" s="86">
        <v>74</v>
      </c>
    </row>
    <row r="77" spans="1:7" ht="15.75" customHeight="1" thickBot="1">
      <c r="A77" s="85" t="s">
        <v>167</v>
      </c>
      <c r="B77" s="85" t="s">
        <v>168</v>
      </c>
      <c r="C77" s="86">
        <v>81</v>
      </c>
      <c r="D77" s="86">
        <v>78</v>
      </c>
      <c r="E77" s="86">
        <v>77</v>
      </c>
      <c r="F77" s="86">
        <v>236</v>
      </c>
      <c r="G77" s="86">
        <v>75</v>
      </c>
    </row>
    <row r="78" spans="1:7" ht="15.75" customHeight="1" thickBot="1">
      <c r="A78" s="85" t="s">
        <v>169</v>
      </c>
      <c r="B78" s="85" t="s">
        <v>170</v>
      </c>
      <c r="C78" s="86">
        <v>75</v>
      </c>
      <c r="D78" s="86">
        <v>83</v>
      </c>
      <c r="E78" s="86">
        <v>77</v>
      </c>
      <c r="F78" s="86">
        <v>235</v>
      </c>
      <c r="G78" s="86">
        <v>76</v>
      </c>
    </row>
    <row r="79" spans="1:7" ht="15.75" customHeight="1" thickBot="1">
      <c r="A79" s="85" t="s">
        <v>171</v>
      </c>
      <c r="B79" s="85" t="s">
        <v>172</v>
      </c>
      <c r="C79" s="86">
        <v>72</v>
      </c>
      <c r="D79" s="86">
        <v>83</v>
      </c>
      <c r="E79" s="86">
        <v>77</v>
      </c>
      <c r="F79" s="86">
        <v>232</v>
      </c>
      <c r="G79" s="86">
        <v>77</v>
      </c>
    </row>
    <row r="80" spans="1:7" ht="15.75" customHeight="1" thickBot="1">
      <c r="A80" s="85" t="s">
        <v>173</v>
      </c>
      <c r="B80" s="85" t="s">
        <v>174</v>
      </c>
      <c r="C80" s="86">
        <v>83</v>
      </c>
      <c r="D80" s="86">
        <v>78</v>
      </c>
      <c r="E80" s="86">
        <v>71</v>
      </c>
      <c r="F80" s="86">
        <v>232</v>
      </c>
      <c r="G80" s="86">
        <v>78</v>
      </c>
    </row>
    <row r="81" spans="1:7" ht="15.75" customHeight="1" thickBot="1">
      <c r="A81" s="85" t="s">
        <v>177</v>
      </c>
      <c r="B81" s="85" t="s">
        <v>178</v>
      </c>
      <c r="C81" s="86">
        <v>82</v>
      </c>
      <c r="D81" s="86">
        <v>72</v>
      </c>
      <c r="E81" s="86">
        <v>76</v>
      </c>
      <c r="F81" s="86">
        <v>230</v>
      </c>
      <c r="G81" s="86">
        <v>79</v>
      </c>
    </row>
    <row r="82" spans="1:7" ht="15.75" customHeight="1" thickBot="1">
      <c r="A82" s="85" t="s">
        <v>175</v>
      </c>
      <c r="B82" s="85" t="s">
        <v>176</v>
      </c>
      <c r="C82" s="86">
        <v>77</v>
      </c>
      <c r="D82" s="86">
        <v>85</v>
      </c>
      <c r="E82" s="86">
        <v>68</v>
      </c>
      <c r="F82" s="86">
        <v>230</v>
      </c>
      <c r="G82" s="86">
        <v>80</v>
      </c>
    </row>
    <row r="83" spans="1:7" ht="15.75" customHeight="1" thickBot="1">
      <c r="A83" s="85" t="s">
        <v>165</v>
      </c>
      <c r="B83" s="85" t="s">
        <v>183</v>
      </c>
      <c r="C83" s="86">
        <v>69</v>
      </c>
      <c r="D83" s="86">
        <v>75</v>
      </c>
      <c r="E83" s="86">
        <v>85</v>
      </c>
      <c r="F83" s="86">
        <v>229</v>
      </c>
      <c r="G83" s="86">
        <v>81</v>
      </c>
    </row>
    <row r="84" spans="1:7" ht="15.75" customHeight="1" thickBot="1">
      <c r="A84" s="85" t="s">
        <v>181</v>
      </c>
      <c r="B84" s="85" t="s">
        <v>182</v>
      </c>
      <c r="C84" s="86">
        <v>79</v>
      </c>
      <c r="D84" s="86">
        <v>68</v>
      </c>
      <c r="E84" s="86">
        <v>82</v>
      </c>
      <c r="F84" s="86">
        <v>229</v>
      </c>
      <c r="G84" s="86">
        <v>82</v>
      </c>
    </row>
    <row r="85" spans="1:7" ht="15.75" customHeight="1" thickBot="1">
      <c r="A85" s="85" t="s">
        <v>179</v>
      </c>
      <c r="B85" s="85" t="s">
        <v>180</v>
      </c>
      <c r="C85" s="86">
        <v>73</v>
      </c>
      <c r="D85" s="86">
        <v>78</v>
      </c>
      <c r="E85" s="86">
        <v>78</v>
      </c>
      <c r="F85" s="86">
        <v>229</v>
      </c>
      <c r="G85" s="86">
        <v>83</v>
      </c>
    </row>
    <row r="86" spans="1:7" ht="15.75" customHeight="1" thickBot="1">
      <c r="A86" s="85" t="s">
        <v>42</v>
      </c>
      <c r="B86" s="85" t="s">
        <v>184</v>
      </c>
      <c r="C86" s="86">
        <v>79</v>
      </c>
      <c r="D86" s="86">
        <v>74</v>
      </c>
      <c r="E86" s="86">
        <v>76</v>
      </c>
      <c r="F86" s="86">
        <v>229</v>
      </c>
      <c r="G86" s="86">
        <v>84</v>
      </c>
    </row>
    <row r="87" spans="1:7" ht="15.75" customHeight="1" thickBot="1">
      <c r="A87" s="85" t="s">
        <v>187</v>
      </c>
      <c r="B87" s="85" t="s">
        <v>188</v>
      </c>
      <c r="C87" s="86">
        <v>76</v>
      </c>
      <c r="D87" s="86">
        <v>77</v>
      </c>
      <c r="E87" s="86">
        <v>75</v>
      </c>
      <c r="F87" s="86">
        <v>228</v>
      </c>
      <c r="G87" s="86">
        <v>85</v>
      </c>
    </row>
    <row r="88" spans="1:7" ht="15.75" customHeight="1" thickBot="1">
      <c r="A88" s="85" t="s">
        <v>185</v>
      </c>
      <c r="B88" s="85" t="s">
        <v>186</v>
      </c>
      <c r="C88" s="86">
        <v>77</v>
      </c>
      <c r="D88" s="86">
        <v>81</v>
      </c>
      <c r="E88" s="86">
        <v>70</v>
      </c>
      <c r="F88" s="86">
        <v>228</v>
      </c>
      <c r="G88" s="86">
        <v>86</v>
      </c>
    </row>
    <row r="89" spans="1:7" ht="15.75" customHeight="1" thickBot="1">
      <c r="A89" s="85" t="s">
        <v>189</v>
      </c>
      <c r="B89" s="85" t="s">
        <v>190</v>
      </c>
      <c r="C89" s="86">
        <v>67</v>
      </c>
      <c r="D89" s="86">
        <v>74</v>
      </c>
      <c r="E89" s="86">
        <v>86</v>
      </c>
      <c r="F89" s="86">
        <v>227</v>
      </c>
      <c r="G89" s="86">
        <v>87</v>
      </c>
    </row>
    <row r="90" spans="1:7" ht="15.75" customHeight="1" thickBot="1">
      <c r="A90" s="85" t="s">
        <v>191</v>
      </c>
      <c r="B90" s="85" t="s">
        <v>59</v>
      </c>
      <c r="C90" s="86">
        <v>66</v>
      </c>
      <c r="D90" s="86">
        <v>83</v>
      </c>
      <c r="E90" s="86">
        <v>77</v>
      </c>
      <c r="F90" s="86">
        <v>226</v>
      </c>
      <c r="G90" s="86">
        <v>88</v>
      </c>
    </row>
    <row r="91" spans="1:7" ht="15.75" customHeight="1" thickBot="1">
      <c r="A91" s="85" t="s">
        <v>165</v>
      </c>
      <c r="B91" s="85" t="s">
        <v>192</v>
      </c>
      <c r="C91" s="86">
        <v>76</v>
      </c>
      <c r="D91" s="86">
        <v>83</v>
      </c>
      <c r="E91" s="86">
        <v>66</v>
      </c>
      <c r="F91" s="86">
        <v>225</v>
      </c>
      <c r="G91" s="86">
        <v>89</v>
      </c>
    </row>
    <row r="92" spans="1:7" ht="15.75" customHeight="1" thickBot="1">
      <c r="A92" s="85" t="s">
        <v>193</v>
      </c>
      <c r="B92" s="85" t="s">
        <v>194</v>
      </c>
      <c r="C92" s="86">
        <v>78</v>
      </c>
      <c r="D92" s="86">
        <v>70</v>
      </c>
      <c r="E92" s="86">
        <v>73</v>
      </c>
      <c r="F92" s="86">
        <v>221</v>
      </c>
      <c r="G92" s="86">
        <v>90</v>
      </c>
    </row>
    <row r="93" spans="1:7" ht="15.75" customHeight="1" thickBot="1">
      <c r="A93" s="85" t="s">
        <v>195</v>
      </c>
      <c r="B93" s="85" t="s">
        <v>196</v>
      </c>
      <c r="C93" s="86">
        <v>79</v>
      </c>
      <c r="D93" s="86">
        <v>66</v>
      </c>
      <c r="E93" s="86">
        <v>75</v>
      </c>
      <c r="F93" s="86">
        <v>220</v>
      </c>
      <c r="G93" s="86">
        <v>91</v>
      </c>
    </row>
    <row r="94" spans="1:7" ht="15.75" customHeight="1" thickBot="1">
      <c r="A94" s="85" t="s">
        <v>199</v>
      </c>
      <c r="B94" s="85" t="s">
        <v>200</v>
      </c>
      <c r="C94" s="86">
        <v>59</v>
      </c>
      <c r="D94" s="86">
        <v>78</v>
      </c>
      <c r="E94" s="86">
        <v>82</v>
      </c>
      <c r="F94" s="86">
        <v>219</v>
      </c>
      <c r="G94" s="86">
        <v>92</v>
      </c>
    </row>
    <row r="95" spans="1:7" ht="15.75" customHeight="1" thickBot="1">
      <c r="A95" s="85" t="s">
        <v>197</v>
      </c>
      <c r="B95" s="85" t="s">
        <v>198</v>
      </c>
      <c r="C95" s="86">
        <v>78</v>
      </c>
      <c r="D95" s="86">
        <v>65</v>
      </c>
      <c r="E95" s="86">
        <v>76</v>
      </c>
      <c r="F95" s="86">
        <v>219</v>
      </c>
      <c r="G95" s="86">
        <v>93</v>
      </c>
    </row>
    <row r="96" spans="1:7" ht="15.75" customHeight="1" thickBot="1">
      <c r="A96" s="85" t="s">
        <v>201</v>
      </c>
      <c r="B96" s="85" t="s">
        <v>202</v>
      </c>
      <c r="C96" s="86">
        <v>72</v>
      </c>
      <c r="D96" s="86">
        <v>69</v>
      </c>
      <c r="E96" s="86">
        <v>72</v>
      </c>
      <c r="F96" s="86">
        <v>213</v>
      </c>
      <c r="G96" s="86">
        <v>94</v>
      </c>
    </row>
    <row r="97" spans="1:7" ht="15.75" customHeight="1" thickBot="1">
      <c r="A97" s="85" t="s">
        <v>203</v>
      </c>
      <c r="B97" s="85" t="s">
        <v>204</v>
      </c>
      <c r="C97" s="86">
        <v>68</v>
      </c>
      <c r="D97" s="86">
        <v>65</v>
      </c>
      <c r="E97" s="86">
        <v>78</v>
      </c>
      <c r="F97" s="86">
        <v>211</v>
      </c>
      <c r="G97" s="86">
        <v>95</v>
      </c>
    </row>
    <row r="98" spans="1:7" ht="15.75" customHeight="1" thickBot="1">
      <c r="A98" s="85" t="s">
        <v>205</v>
      </c>
      <c r="B98" s="85" t="s">
        <v>206</v>
      </c>
      <c r="C98" s="86">
        <v>71</v>
      </c>
      <c r="D98" s="86">
        <v>68</v>
      </c>
      <c r="E98" s="86">
        <v>70</v>
      </c>
      <c r="F98" s="86">
        <v>209</v>
      </c>
      <c r="G98" s="86">
        <v>96</v>
      </c>
    </row>
    <row r="99" spans="1:7" ht="15.75" customHeight="1" thickBot="1">
      <c r="A99" s="85" t="s">
        <v>207</v>
      </c>
      <c r="B99" s="85" t="s">
        <v>208</v>
      </c>
      <c r="C99" s="86">
        <v>71</v>
      </c>
      <c r="D99" s="86">
        <v>68</v>
      </c>
      <c r="E99" s="86">
        <v>69</v>
      </c>
      <c r="F99" s="86">
        <v>208</v>
      </c>
      <c r="G99" s="86">
        <v>97</v>
      </c>
    </row>
    <row r="100" spans="1:7" ht="15.75" customHeight="1" thickBot="1">
      <c r="A100" s="85" t="s">
        <v>209</v>
      </c>
      <c r="B100" s="85" t="s">
        <v>210</v>
      </c>
      <c r="C100" s="86">
        <v>72</v>
      </c>
      <c r="D100" s="86">
        <v>55</v>
      </c>
      <c r="E100" s="86">
        <v>71</v>
      </c>
      <c r="F100" s="86">
        <v>198</v>
      </c>
      <c r="G100" s="86">
        <v>98</v>
      </c>
    </row>
    <row r="101" spans="1:7" ht="15.75" customHeight="1" thickBot="1">
      <c r="A101" s="85" t="s">
        <v>211</v>
      </c>
      <c r="B101" s="85" t="s">
        <v>212</v>
      </c>
      <c r="C101" s="86">
        <v>50</v>
      </c>
      <c r="D101" s="86">
        <v>72</v>
      </c>
      <c r="E101" s="86">
        <v>74</v>
      </c>
      <c r="F101" s="86">
        <v>196</v>
      </c>
      <c r="G101" s="86">
        <v>99</v>
      </c>
    </row>
    <row r="102" spans="1:7" ht="15.75" customHeight="1" thickBot="1">
      <c r="A102" s="85" t="s">
        <v>213</v>
      </c>
      <c r="B102" s="85" t="s">
        <v>214</v>
      </c>
      <c r="C102" s="86">
        <v>57</v>
      </c>
      <c r="D102" s="86">
        <v>76</v>
      </c>
      <c r="E102" s="86">
        <v>63</v>
      </c>
      <c r="F102" s="86">
        <v>196</v>
      </c>
      <c r="G102" s="86">
        <v>100</v>
      </c>
    </row>
    <row r="103" spans="1:7" ht="15.75" customHeight="1" thickBot="1">
      <c r="A103" s="85" t="s">
        <v>215</v>
      </c>
      <c r="B103" s="85" t="s">
        <v>216</v>
      </c>
      <c r="C103" s="86">
        <v>53</v>
      </c>
      <c r="D103" s="86">
        <v>63</v>
      </c>
      <c r="E103" s="86">
        <v>75</v>
      </c>
      <c r="F103" s="86">
        <v>191</v>
      </c>
      <c r="G103" s="86">
        <v>101</v>
      </c>
    </row>
    <row r="104" spans="1:7" ht="15.75" customHeight="1" thickBot="1">
      <c r="A104" s="85" t="s">
        <v>217</v>
      </c>
      <c r="B104" s="85" t="s">
        <v>218</v>
      </c>
      <c r="C104" s="86">
        <v>61</v>
      </c>
      <c r="D104" s="86">
        <v>58</v>
      </c>
      <c r="E104" s="86">
        <v>67</v>
      </c>
      <c r="F104" s="86">
        <v>186</v>
      </c>
      <c r="G104" s="86">
        <v>102</v>
      </c>
    </row>
    <row r="105" spans="1:7" ht="15.75" customHeight="1" thickBot="1">
      <c r="A105" s="85" t="s">
        <v>219</v>
      </c>
      <c r="B105" s="85" t="s">
        <v>220</v>
      </c>
      <c r="C105" s="86">
        <v>57</v>
      </c>
      <c r="D105" s="86">
        <v>65</v>
      </c>
      <c r="E105" s="86">
        <v>62</v>
      </c>
      <c r="F105" s="86">
        <v>184</v>
      </c>
      <c r="G105" s="86">
        <v>103</v>
      </c>
    </row>
    <row r="106" spans="1:7" ht="15.75" customHeight="1" thickBot="1">
      <c r="A106" s="85" t="s">
        <v>99</v>
      </c>
      <c r="B106" s="85" t="s">
        <v>221</v>
      </c>
      <c r="C106" s="86">
        <v>62</v>
      </c>
      <c r="D106" s="86">
        <v>62</v>
      </c>
      <c r="E106" s="86">
        <v>59</v>
      </c>
      <c r="F106" s="86">
        <v>183</v>
      </c>
      <c r="G106" s="86">
        <v>104</v>
      </c>
    </row>
    <row r="107" spans="1:7" ht="15.75" customHeight="1" thickBot="1">
      <c r="A107" s="85" t="s">
        <v>84</v>
      </c>
      <c r="B107" s="85" t="s">
        <v>222</v>
      </c>
      <c r="C107" s="86">
        <v>55</v>
      </c>
      <c r="D107" s="86">
        <v>55</v>
      </c>
      <c r="E107" s="86">
        <v>72</v>
      </c>
      <c r="F107" s="86">
        <v>182</v>
      </c>
      <c r="G107" s="86">
        <v>105</v>
      </c>
    </row>
    <row r="108" spans="1:7" ht="15.75" customHeight="1" thickBot="1">
      <c r="A108" s="85" t="s">
        <v>223</v>
      </c>
      <c r="B108" s="85" t="s">
        <v>224</v>
      </c>
      <c r="C108" s="86">
        <v>61</v>
      </c>
      <c r="D108" s="86">
        <v>36</v>
      </c>
      <c r="E108" s="86">
        <v>82</v>
      </c>
      <c r="F108" s="86">
        <v>179</v>
      </c>
      <c r="G108" s="86">
        <v>106</v>
      </c>
    </row>
    <row r="109" spans="1:7" ht="15.75" customHeight="1" thickBot="1">
      <c r="A109" s="85" t="s">
        <v>225</v>
      </c>
      <c r="B109" s="85" t="s">
        <v>226</v>
      </c>
      <c r="C109" s="86">
        <v>64</v>
      </c>
      <c r="D109" s="86">
        <v>63</v>
      </c>
      <c r="E109" s="86">
        <v>49</v>
      </c>
      <c r="F109" s="86">
        <v>176</v>
      </c>
      <c r="G109" s="86">
        <v>107</v>
      </c>
    </row>
    <row r="110" spans="1:7" ht="15.75" customHeight="1" thickBot="1">
      <c r="A110" s="85" t="s">
        <v>48</v>
      </c>
      <c r="B110" s="85" t="s">
        <v>227</v>
      </c>
      <c r="C110" s="86">
        <v>54</v>
      </c>
      <c r="D110" s="86">
        <v>55</v>
      </c>
      <c r="E110" s="86">
        <v>66</v>
      </c>
      <c r="F110" s="86">
        <v>175</v>
      </c>
      <c r="G110" s="86">
        <v>108</v>
      </c>
    </row>
    <row r="111" spans="1:7" ht="15.75" customHeight="1" thickBot="1">
      <c r="A111" s="85" t="s">
        <v>80</v>
      </c>
      <c r="B111" s="85" t="s">
        <v>228</v>
      </c>
      <c r="C111" s="86">
        <v>72</v>
      </c>
      <c r="D111" s="86">
        <v>48</v>
      </c>
      <c r="E111" s="86">
        <v>49</v>
      </c>
      <c r="F111" s="86">
        <v>169</v>
      </c>
      <c r="G111" s="86">
        <v>109</v>
      </c>
    </row>
    <row r="112" spans="1:7" ht="15.75" customHeight="1" thickBot="1">
      <c r="A112" s="85" t="s">
        <v>229</v>
      </c>
      <c r="B112" s="85" t="s">
        <v>230</v>
      </c>
      <c r="C112" s="86">
        <v>61</v>
      </c>
      <c r="D112" s="86">
        <v>40</v>
      </c>
      <c r="E112" s="86">
        <v>64</v>
      </c>
      <c r="F112" s="86">
        <v>165</v>
      </c>
      <c r="G112" s="86">
        <v>110</v>
      </c>
    </row>
    <row r="113" spans="1:7" ht="15.75" customHeight="1" thickBot="1">
      <c r="A113" s="85" t="s">
        <v>231</v>
      </c>
      <c r="B113" s="85" t="s">
        <v>232</v>
      </c>
      <c r="C113" s="86">
        <v>43</v>
      </c>
      <c r="D113" s="86">
        <v>71</v>
      </c>
      <c r="E113" s="86">
        <v>46</v>
      </c>
      <c r="F113" s="86">
        <v>160</v>
      </c>
      <c r="G113" s="86">
        <v>111</v>
      </c>
    </row>
    <row r="114" spans="1:7" ht="15.75" customHeight="1" thickBot="1">
      <c r="A114" s="85" t="s">
        <v>233</v>
      </c>
      <c r="B114" s="85" t="s">
        <v>392</v>
      </c>
      <c r="C114" s="86">
        <v>46</v>
      </c>
      <c r="D114" s="86">
        <v>41</v>
      </c>
      <c r="E114" s="86">
        <v>69</v>
      </c>
      <c r="F114" s="86">
        <v>156</v>
      </c>
      <c r="G114" s="86">
        <v>112</v>
      </c>
    </row>
    <row r="115" spans="1:7" ht="15.75" customHeight="1" thickBot="1">
      <c r="A115" s="85" t="s">
        <v>235</v>
      </c>
      <c r="B115" s="85" t="s">
        <v>236</v>
      </c>
      <c r="C115" s="86">
        <v>36</v>
      </c>
      <c r="D115" s="86">
        <v>50</v>
      </c>
      <c r="E115" s="86">
        <v>51</v>
      </c>
      <c r="F115" s="86">
        <v>137</v>
      </c>
      <c r="G115" s="86">
        <v>113</v>
      </c>
    </row>
    <row r="116" spans="1:7" ht="15.75" customHeight="1" thickBot="1">
      <c r="A116" s="85" t="s">
        <v>237</v>
      </c>
      <c r="B116" s="85" t="s">
        <v>238</v>
      </c>
      <c r="C116" s="86">
        <v>47</v>
      </c>
      <c r="D116" s="86">
        <v>43</v>
      </c>
      <c r="E116" s="86">
        <v>47</v>
      </c>
      <c r="F116" s="86">
        <v>137</v>
      </c>
      <c r="G116" s="86">
        <v>114</v>
      </c>
    </row>
    <row r="117" spans="1:7" ht="15.75" customHeight="1" thickBot="1">
      <c r="A117" s="85" t="s">
        <v>239</v>
      </c>
      <c r="B117" s="85" t="s">
        <v>240</v>
      </c>
      <c r="C117" s="86">
        <v>18</v>
      </c>
      <c r="D117" s="86">
        <v>48</v>
      </c>
      <c r="E117" s="86">
        <v>28</v>
      </c>
      <c r="F117" s="86">
        <v>94</v>
      </c>
      <c r="G117" s="86">
        <v>115</v>
      </c>
    </row>
    <row r="118" spans="1:7" ht="15.75" customHeight="1" thickBot="1">
      <c r="A118" s="85" t="s">
        <v>241</v>
      </c>
      <c r="B118" s="85" t="s">
        <v>242</v>
      </c>
      <c r="C118" s="86">
        <v>0</v>
      </c>
      <c r="D118" s="86">
        <v>10</v>
      </c>
      <c r="E118" s="86">
        <v>0</v>
      </c>
      <c r="F118" s="86">
        <v>10</v>
      </c>
      <c r="G118" s="86">
        <v>116</v>
      </c>
    </row>
    <row r="119" spans="1:7" ht="15.75" customHeight="1" thickBot="1">
      <c r="A119" s="10"/>
      <c r="B119" s="10"/>
      <c r="C119" s="12"/>
      <c r="D119" s="12"/>
      <c r="E119" s="12"/>
      <c r="F119" s="12"/>
      <c r="G119" s="12"/>
    </row>
    <row r="120" spans="1:7" ht="15.75" customHeight="1" thickBot="1">
      <c r="A120" s="10"/>
      <c r="B120" s="10"/>
      <c r="C120" s="12"/>
      <c r="D120" s="12"/>
      <c r="E120" s="12"/>
      <c r="F120" s="12"/>
      <c r="G120" s="12"/>
    </row>
    <row r="121" spans="1:7" ht="15.75" customHeight="1" thickBot="1">
      <c r="A121" s="10"/>
      <c r="B121" s="10"/>
      <c r="C121" s="12"/>
      <c r="D121" s="12"/>
      <c r="E121" s="12"/>
      <c r="F121" s="12"/>
      <c r="G121" s="12"/>
    </row>
    <row r="122" spans="1:7" ht="15.75" customHeight="1" thickBot="1">
      <c r="A122" s="10"/>
      <c r="B122" s="10"/>
      <c r="C122" s="12"/>
      <c r="D122" s="12"/>
      <c r="E122" s="12"/>
      <c r="F122" s="12"/>
      <c r="G122" s="12"/>
    </row>
    <row r="123" spans="1:7" ht="15.75" customHeight="1" thickBot="1">
      <c r="A123" s="10"/>
      <c r="B123" s="10"/>
      <c r="C123" s="12"/>
      <c r="D123" s="12"/>
      <c r="E123" s="12"/>
      <c r="F123" s="12"/>
      <c r="G123" s="12"/>
    </row>
    <row r="124" spans="1:7" ht="15.75" customHeight="1" thickBot="1">
      <c r="A124" s="10"/>
      <c r="B124" s="10"/>
      <c r="C124" s="12"/>
      <c r="D124" s="12"/>
      <c r="E124" s="12"/>
      <c r="F124" s="12"/>
      <c r="G124" s="12"/>
    </row>
    <row r="125" spans="1:7" ht="15.75" customHeight="1" thickBot="1">
      <c r="A125" s="10"/>
      <c r="B125" s="10"/>
      <c r="C125" s="12"/>
      <c r="D125" s="12"/>
      <c r="E125" s="12"/>
      <c r="F125" s="12"/>
      <c r="G125" s="12"/>
    </row>
    <row r="126" spans="1:7" ht="15.75" customHeight="1" thickBot="1">
      <c r="A126" s="10"/>
      <c r="B126" s="10"/>
      <c r="C126" s="12"/>
      <c r="D126" s="12"/>
      <c r="E126" s="12"/>
      <c r="F126" s="12"/>
      <c r="G126" s="12"/>
    </row>
    <row r="127" spans="1:7" ht="15.75" customHeight="1" thickBot="1">
      <c r="A127" s="10"/>
      <c r="B127" s="10"/>
      <c r="C127" s="12"/>
      <c r="D127" s="12"/>
      <c r="E127" s="12"/>
      <c r="F127" s="12"/>
      <c r="G127" s="12"/>
    </row>
    <row r="128" spans="1:7" ht="15.75" customHeight="1" thickBot="1">
      <c r="A128" s="10"/>
      <c r="B128" s="10"/>
      <c r="C128" s="12"/>
      <c r="D128" s="12"/>
      <c r="E128" s="12"/>
      <c r="F128" s="12"/>
      <c r="G128" s="12"/>
    </row>
    <row r="129" spans="1:7" ht="15.75" customHeight="1" thickBot="1">
      <c r="A129" s="10"/>
      <c r="B129" s="10"/>
      <c r="C129" s="12"/>
      <c r="D129" s="12"/>
      <c r="E129" s="12"/>
      <c r="F129" s="12"/>
      <c r="G129" s="12"/>
    </row>
    <row r="130" spans="1:7" ht="15.75" customHeight="1" thickBot="1">
      <c r="A130" s="10"/>
      <c r="B130" s="10"/>
      <c r="C130" s="12"/>
      <c r="D130" s="12"/>
      <c r="E130" s="12"/>
      <c r="F130" s="12"/>
      <c r="G130" s="12"/>
    </row>
    <row r="131" spans="1:7" ht="15.75" customHeight="1" thickBot="1">
      <c r="A131" s="10"/>
      <c r="B131" s="10"/>
      <c r="C131" s="12"/>
      <c r="D131" s="12"/>
      <c r="E131" s="12"/>
      <c r="F131" s="12"/>
      <c r="G131" s="12"/>
    </row>
    <row r="132" spans="1:7" ht="15.75" customHeight="1" thickBot="1">
      <c r="A132" s="10"/>
      <c r="B132" s="10"/>
      <c r="C132" s="12"/>
      <c r="D132" s="12"/>
      <c r="E132" s="12"/>
      <c r="F132" s="12"/>
      <c r="G132" s="12"/>
    </row>
    <row r="133" spans="1:7" ht="15.75" customHeight="1" thickBot="1">
      <c r="A133" s="10"/>
      <c r="B133" s="10"/>
      <c r="C133" s="12"/>
      <c r="D133" s="12"/>
      <c r="E133" s="12"/>
      <c r="F133" s="12"/>
      <c r="G133" s="12"/>
    </row>
    <row r="134" spans="1:7" ht="15.75" customHeight="1" thickBot="1">
      <c r="A134" s="10"/>
      <c r="B134" s="10"/>
      <c r="C134" s="12"/>
      <c r="D134" s="12"/>
      <c r="E134" s="12"/>
      <c r="F134" s="12"/>
      <c r="G134" s="12"/>
    </row>
    <row r="135" spans="1:7" ht="15.75" customHeight="1" thickBot="1">
      <c r="A135" s="10"/>
      <c r="B135" s="10"/>
      <c r="C135" s="12"/>
      <c r="D135" s="12"/>
      <c r="E135" s="12"/>
      <c r="F135" s="12"/>
      <c r="G135" s="12"/>
    </row>
    <row r="136" spans="1:7" ht="15.75" customHeight="1" thickBot="1">
      <c r="A136" s="10"/>
      <c r="B136" s="10"/>
      <c r="C136" s="12"/>
      <c r="D136" s="12"/>
      <c r="E136" s="12"/>
      <c r="F136" s="12"/>
      <c r="G136" s="12"/>
    </row>
    <row r="137" spans="1:7" ht="15.75" customHeight="1" thickBot="1">
      <c r="A137" s="10"/>
      <c r="B137" s="10"/>
      <c r="C137" s="12"/>
      <c r="D137" s="12"/>
      <c r="E137" s="12"/>
      <c r="F137" s="12"/>
      <c r="G137" s="12"/>
    </row>
    <row r="138" spans="1:7" ht="15.75" customHeight="1" thickBot="1">
      <c r="A138" s="10"/>
      <c r="B138" s="10"/>
      <c r="C138" s="12"/>
      <c r="D138" s="12"/>
      <c r="E138" s="12"/>
      <c r="F138" s="12"/>
      <c r="G138" s="12"/>
    </row>
    <row r="139" spans="1:7" ht="15.75" customHeight="1" thickBot="1">
      <c r="A139" s="10"/>
      <c r="B139" s="10"/>
      <c r="C139" s="12"/>
      <c r="D139" s="12"/>
      <c r="E139" s="12"/>
      <c r="F139" s="12"/>
      <c r="G139" s="12"/>
    </row>
    <row r="140" spans="1:7" ht="15.75" customHeight="1" thickBot="1">
      <c r="A140" s="10"/>
      <c r="B140" s="10"/>
      <c r="C140" s="12"/>
      <c r="D140" s="12"/>
      <c r="E140" s="12"/>
      <c r="F140" s="12"/>
      <c r="G140" s="12"/>
    </row>
    <row r="141" spans="1:7" ht="15.75" customHeight="1" thickBot="1">
      <c r="A141" s="10"/>
      <c r="B141" s="10"/>
      <c r="C141" s="12"/>
      <c r="D141" s="12"/>
      <c r="E141" s="12"/>
      <c r="F141" s="12"/>
      <c r="G141" s="12"/>
    </row>
    <row r="142" spans="1:7" ht="15.75" customHeight="1" thickBot="1">
      <c r="A142" s="10"/>
      <c r="B142" s="10"/>
      <c r="C142" s="12"/>
      <c r="D142" s="12"/>
      <c r="E142" s="12"/>
      <c r="F142" s="12"/>
      <c r="G142" s="12"/>
    </row>
    <row r="143" spans="1:7" ht="15.75" customHeight="1" thickBot="1">
      <c r="A143" s="10"/>
      <c r="B143" s="10"/>
      <c r="C143" s="12"/>
      <c r="D143" s="12"/>
      <c r="E143" s="12"/>
      <c r="F143" s="12"/>
      <c r="G143" s="12"/>
    </row>
    <row r="144" spans="1:7" ht="15.75" customHeight="1" thickBot="1">
      <c r="A144" s="10"/>
      <c r="B144" s="10"/>
      <c r="C144" s="12"/>
      <c r="D144" s="12"/>
      <c r="E144" s="12"/>
      <c r="F144" s="12"/>
      <c r="G144" s="12"/>
    </row>
    <row r="145" spans="1:7" ht="15.75" customHeight="1" thickBot="1">
      <c r="A145" s="10"/>
      <c r="B145" s="10"/>
      <c r="C145" s="12"/>
      <c r="D145" s="12"/>
      <c r="E145" s="12"/>
      <c r="F145" s="12"/>
      <c r="G145" s="12"/>
    </row>
    <row r="146" spans="1:7" ht="15.75" customHeight="1" thickBot="1">
      <c r="A146" s="10"/>
      <c r="B146" s="10"/>
      <c r="C146" s="12"/>
      <c r="D146" s="12"/>
      <c r="E146" s="12"/>
      <c r="F146" s="12"/>
      <c r="G146" s="12"/>
    </row>
    <row r="147" spans="1:7" ht="15.75" customHeight="1" thickBot="1">
      <c r="A147" s="10"/>
      <c r="B147" s="10"/>
      <c r="C147" s="12"/>
      <c r="D147" s="12"/>
      <c r="E147" s="12"/>
      <c r="F147" s="12"/>
      <c r="G147" s="12"/>
    </row>
    <row r="148" spans="1:7" ht="15.75" customHeight="1" thickBot="1">
      <c r="A148" s="10"/>
      <c r="B148" s="10"/>
      <c r="C148" s="12"/>
      <c r="D148" s="12"/>
      <c r="E148" s="12"/>
      <c r="F148" s="12"/>
      <c r="G148" s="12"/>
    </row>
    <row r="149" spans="1:7" ht="15.75" customHeight="1" thickBot="1">
      <c r="A149" s="10"/>
      <c r="B149" s="10"/>
      <c r="C149" s="12"/>
      <c r="D149" s="12"/>
      <c r="E149" s="12"/>
      <c r="F149" s="12"/>
      <c r="G149" s="12"/>
    </row>
    <row r="150" spans="1:7" ht="15.75" customHeight="1" thickBot="1">
      <c r="A150" s="10"/>
      <c r="B150" s="10"/>
      <c r="C150" s="12"/>
      <c r="D150" s="12"/>
      <c r="E150" s="12"/>
      <c r="F150" s="12"/>
      <c r="G150" s="12"/>
    </row>
    <row r="151" spans="1:7" ht="15.75" customHeight="1" thickBot="1">
      <c r="A151" s="10"/>
      <c r="B151" s="10"/>
      <c r="C151" s="12"/>
      <c r="D151" s="12"/>
      <c r="E151" s="12"/>
      <c r="F151" s="12"/>
      <c r="G151" s="12"/>
    </row>
    <row r="152" spans="1:7" ht="15.75" customHeight="1" thickBot="1">
      <c r="A152" s="10"/>
      <c r="B152" s="10"/>
      <c r="C152" s="12"/>
      <c r="D152" s="12"/>
      <c r="E152" s="12"/>
      <c r="F152" s="12"/>
      <c r="G152" s="12"/>
    </row>
    <row r="153" spans="1:7" ht="15.75" customHeight="1" thickBot="1">
      <c r="A153" s="10"/>
      <c r="B153" s="10"/>
      <c r="C153" s="12"/>
      <c r="D153" s="12"/>
      <c r="E153" s="12"/>
      <c r="F153" s="12"/>
      <c r="G153" s="12"/>
    </row>
    <row r="154" spans="1:7" ht="15.75" customHeight="1" thickBot="1">
      <c r="A154" s="10"/>
      <c r="B154" s="10"/>
      <c r="C154" s="12"/>
      <c r="D154" s="12"/>
      <c r="E154" s="12"/>
      <c r="F154" s="12"/>
      <c r="G154" s="12"/>
    </row>
    <row r="155" spans="1:7" ht="15.75" customHeight="1" thickBot="1">
      <c r="A155" s="10"/>
      <c r="B155" s="10"/>
      <c r="C155" s="12"/>
      <c r="D155" s="12"/>
      <c r="E155" s="12"/>
      <c r="F155" s="12"/>
      <c r="G155" s="12"/>
    </row>
    <row r="156" spans="1:7" ht="15.75" customHeight="1" thickBot="1">
      <c r="A156" s="10"/>
      <c r="B156" s="10"/>
      <c r="C156" s="12"/>
      <c r="D156" s="12"/>
      <c r="E156" s="12"/>
      <c r="F156" s="12"/>
      <c r="G156" s="12"/>
    </row>
    <row r="157" spans="1:7" ht="15.75" customHeight="1" thickBot="1">
      <c r="A157" s="10"/>
      <c r="B157" s="10"/>
      <c r="C157" s="12"/>
      <c r="D157" s="12"/>
      <c r="E157" s="12"/>
      <c r="F157" s="12"/>
      <c r="G157" s="12"/>
    </row>
    <row r="158" spans="1:7" ht="15.75" customHeight="1" thickBot="1">
      <c r="A158" s="10"/>
      <c r="B158" s="10"/>
      <c r="C158" s="12"/>
      <c r="D158" s="12"/>
      <c r="E158" s="12"/>
      <c r="F158" s="12"/>
      <c r="G158" s="12"/>
    </row>
    <row r="159" spans="1:7" ht="15.75" customHeight="1" thickBot="1">
      <c r="A159" s="10"/>
      <c r="B159" s="10"/>
      <c r="C159" s="12"/>
      <c r="D159" s="12"/>
      <c r="E159" s="12"/>
      <c r="F159" s="12"/>
      <c r="G159" s="12"/>
    </row>
    <row r="160" spans="1:7" ht="15.75" customHeight="1" thickBot="1">
      <c r="A160" s="10"/>
      <c r="B160" s="10"/>
      <c r="C160" s="12"/>
      <c r="D160" s="12"/>
      <c r="E160" s="12"/>
      <c r="F160" s="12"/>
      <c r="G160" s="12"/>
    </row>
    <row r="161" spans="1:7" ht="15.75" customHeight="1" thickBot="1">
      <c r="A161" s="10"/>
      <c r="B161" s="10"/>
      <c r="C161" s="12"/>
      <c r="D161" s="12"/>
      <c r="E161" s="12"/>
      <c r="F161" s="12"/>
      <c r="G161" s="12"/>
    </row>
    <row r="162" spans="1:7" ht="15.75" customHeight="1" thickBot="1">
      <c r="A162" s="10"/>
      <c r="B162" s="10"/>
      <c r="C162" s="12"/>
      <c r="D162" s="12"/>
      <c r="E162" s="12"/>
      <c r="F162" s="12"/>
      <c r="G162" s="12"/>
    </row>
    <row r="163" spans="1:7" ht="15.75" customHeight="1" thickBot="1">
      <c r="A163" s="10"/>
      <c r="B163" s="10"/>
      <c r="C163" s="12"/>
      <c r="D163" s="12"/>
      <c r="E163" s="12"/>
      <c r="F163" s="12"/>
      <c r="G163" s="12"/>
    </row>
    <row r="164" spans="1:7" ht="15.75" customHeight="1" thickBot="1">
      <c r="A164" s="10"/>
      <c r="B164" s="10"/>
      <c r="C164" s="12"/>
      <c r="D164" s="12"/>
      <c r="E164" s="12"/>
      <c r="F164" s="12"/>
      <c r="G164" s="12"/>
    </row>
    <row r="165" spans="1:7" ht="15.75" customHeight="1" thickBot="1">
      <c r="A165" s="10"/>
      <c r="B165" s="10"/>
      <c r="C165" s="12"/>
      <c r="D165" s="12"/>
      <c r="E165" s="12"/>
      <c r="F165" s="12"/>
      <c r="G165" s="12"/>
    </row>
    <row r="166" spans="1:7" ht="15.75" customHeight="1" thickBot="1">
      <c r="A166" s="10"/>
      <c r="B166" s="10"/>
      <c r="C166" s="12"/>
      <c r="D166" s="12"/>
      <c r="E166" s="12"/>
      <c r="F166" s="12"/>
      <c r="G166" s="12"/>
    </row>
    <row r="167" spans="1:7" ht="15.75" customHeight="1" thickBot="1">
      <c r="A167" s="10"/>
      <c r="B167" s="10"/>
      <c r="C167" s="12"/>
      <c r="D167" s="12"/>
      <c r="E167" s="12"/>
      <c r="F167" s="12"/>
      <c r="G167" s="12"/>
    </row>
    <row r="168" spans="1:7" ht="15.75" customHeight="1" thickBot="1">
      <c r="A168" s="10"/>
      <c r="B168" s="10"/>
      <c r="C168" s="12"/>
      <c r="D168" s="12"/>
      <c r="E168" s="12"/>
      <c r="F168" s="12"/>
      <c r="G168" s="12"/>
    </row>
    <row r="169" spans="1:7" ht="15.75" customHeight="1" thickBot="1">
      <c r="A169" s="10"/>
      <c r="B169" s="10"/>
      <c r="C169" s="12"/>
      <c r="D169" s="12"/>
      <c r="E169" s="12"/>
      <c r="F169" s="12"/>
      <c r="G169" s="12"/>
    </row>
    <row r="170" spans="1:7" ht="15.75" customHeight="1" thickBot="1">
      <c r="A170" s="10"/>
      <c r="B170" s="10"/>
      <c r="C170" s="12"/>
      <c r="D170" s="12"/>
      <c r="E170" s="12"/>
      <c r="F170" s="12"/>
      <c r="G170" s="12"/>
    </row>
    <row r="171" spans="1:7" ht="15.75" customHeight="1" thickBot="1">
      <c r="A171" s="10"/>
      <c r="B171" s="10"/>
      <c r="C171" s="12"/>
      <c r="D171" s="12"/>
      <c r="E171" s="12"/>
      <c r="F171" s="12"/>
      <c r="G171" s="12"/>
    </row>
    <row r="172" spans="1:7" ht="15.75" customHeight="1" thickBot="1">
      <c r="A172" s="10"/>
      <c r="B172" s="10"/>
      <c r="C172" s="12"/>
      <c r="D172" s="12"/>
      <c r="E172" s="12"/>
      <c r="F172" s="12"/>
      <c r="G172" s="12"/>
    </row>
    <row r="173" spans="1:7" ht="15.75" customHeight="1" thickBot="1">
      <c r="A173" s="10"/>
      <c r="B173" s="10"/>
      <c r="C173" s="12"/>
      <c r="D173" s="12"/>
      <c r="E173" s="12"/>
      <c r="F173" s="12"/>
      <c r="G173" s="12"/>
    </row>
    <row r="174" spans="1:7" ht="15.75" customHeight="1" thickBot="1">
      <c r="A174" s="10"/>
      <c r="B174" s="10"/>
      <c r="C174" s="12"/>
      <c r="D174" s="12"/>
      <c r="E174" s="12"/>
      <c r="F174" s="12"/>
      <c r="G174" s="12"/>
    </row>
    <row r="175" spans="1:7" ht="15.75" customHeight="1" thickBot="1">
      <c r="A175" s="10"/>
      <c r="B175" s="10"/>
      <c r="C175" s="12"/>
      <c r="D175" s="12"/>
      <c r="E175" s="12"/>
      <c r="F175" s="12"/>
      <c r="G175" s="12"/>
    </row>
    <row r="176" spans="1:7" ht="15.75" customHeight="1" thickBot="1">
      <c r="A176" s="10"/>
      <c r="B176" s="10"/>
      <c r="C176" s="12"/>
      <c r="D176" s="12"/>
      <c r="E176" s="12"/>
      <c r="F176" s="12"/>
      <c r="G176" s="12"/>
    </row>
    <row r="177" spans="1:7" ht="15.75" customHeight="1" thickBot="1">
      <c r="A177" s="10"/>
      <c r="B177" s="10"/>
      <c r="C177" s="12"/>
      <c r="D177" s="12"/>
      <c r="E177" s="12"/>
      <c r="F177" s="12"/>
      <c r="G177" s="12"/>
    </row>
    <row r="178" spans="1:7" ht="15.75" customHeight="1" thickBot="1">
      <c r="A178" s="10"/>
      <c r="B178" s="10"/>
      <c r="C178" s="12"/>
      <c r="D178" s="12"/>
      <c r="E178" s="12"/>
      <c r="F178" s="12"/>
      <c r="G178" s="12"/>
    </row>
    <row r="179" spans="1:7" ht="15.75" customHeight="1" thickBot="1">
      <c r="A179" s="10"/>
      <c r="B179" s="10"/>
      <c r="C179" s="12"/>
      <c r="D179" s="12"/>
      <c r="E179" s="12"/>
      <c r="F179" s="12"/>
      <c r="G179" s="12"/>
    </row>
    <row r="180" spans="1:7" ht="15.75" customHeight="1" thickBot="1">
      <c r="A180" s="10"/>
      <c r="B180" s="10"/>
      <c r="C180" s="12"/>
      <c r="D180" s="12"/>
      <c r="E180" s="12"/>
      <c r="F180" s="12"/>
      <c r="G180" s="12"/>
    </row>
    <row r="181" spans="1:7" ht="15.75" customHeight="1" thickBot="1">
      <c r="A181" s="10"/>
      <c r="B181" s="10"/>
      <c r="C181" s="12"/>
      <c r="D181" s="12"/>
      <c r="E181" s="12"/>
      <c r="F181" s="12"/>
      <c r="G181" s="12"/>
    </row>
    <row r="182" spans="1:7" ht="15.75" customHeight="1" thickBot="1">
      <c r="A182" s="10"/>
      <c r="B182" s="10"/>
      <c r="C182" s="12"/>
      <c r="D182" s="12"/>
      <c r="E182" s="12"/>
      <c r="F182" s="12"/>
      <c r="G182" s="12"/>
    </row>
    <row r="183" spans="1:7" ht="15.75" customHeight="1" thickBot="1">
      <c r="A183" s="10"/>
      <c r="B183" s="10"/>
      <c r="C183" s="12"/>
      <c r="D183" s="12"/>
      <c r="E183" s="12"/>
      <c r="F183" s="12"/>
      <c r="G183" s="12"/>
    </row>
    <row r="184" spans="1:7" ht="15.75" customHeight="1" thickBot="1">
      <c r="A184" s="10"/>
      <c r="B184" s="10"/>
      <c r="C184" s="12"/>
      <c r="D184" s="12"/>
      <c r="E184" s="12"/>
      <c r="F184" s="12"/>
      <c r="G184" s="12"/>
    </row>
    <row r="185" spans="1:7" ht="15.75" customHeight="1" thickBot="1">
      <c r="A185" s="10"/>
      <c r="B185" s="10"/>
      <c r="C185" s="12"/>
      <c r="D185" s="12"/>
      <c r="E185" s="12"/>
      <c r="F185" s="12"/>
      <c r="G185" s="12"/>
    </row>
    <row r="186" spans="1:7" ht="15.75" customHeight="1" thickBot="1">
      <c r="A186" s="10"/>
      <c r="B186" s="10"/>
      <c r="C186" s="12"/>
      <c r="D186" s="12"/>
      <c r="E186" s="12"/>
      <c r="F186" s="12"/>
      <c r="G186" s="12"/>
    </row>
    <row r="187" spans="1:7" ht="15.75" customHeight="1" thickBot="1">
      <c r="A187" s="10"/>
      <c r="B187" s="10"/>
      <c r="C187" s="12"/>
      <c r="D187" s="12"/>
      <c r="E187" s="12"/>
      <c r="F187" s="12"/>
      <c r="G187" s="12"/>
    </row>
    <row r="188" spans="1:7" ht="15.75" customHeight="1" thickBot="1">
      <c r="A188" s="10"/>
      <c r="B188" s="10"/>
      <c r="C188" s="12"/>
      <c r="D188" s="12"/>
      <c r="E188" s="12"/>
      <c r="F188" s="12"/>
      <c r="G188" s="12"/>
    </row>
    <row r="189" spans="1:7" ht="15.75" customHeight="1" thickBot="1">
      <c r="A189" s="10"/>
      <c r="B189" s="10"/>
      <c r="C189" s="12"/>
      <c r="D189" s="12"/>
      <c r="E189" s="12"/>
      <c r="F189" s="12"/>
      <c r="G189" s="12"/>
    </row>
    <row r="190" spans="1:7" ht="15.75" customHeight="1" thickBot="1">
      <c r="A190" s="10"/>
      <c r="B190" s="10"/>
      <c r="C190" s="12"/>
      <c r="D190" s="12"/>
      <c r="E190" s="12"/>
      <c r="F190" s="12"/>
      <c r="G190" s="12"/>
    </row>
    <row r="191" spans="1:7" ht="15.75" customHeight="1" thickBot="1">
      <c r="A191" s="10"/>
      <c r="B191" s="10"/>
      <c r="C191" s="12"/>
      <c r="D191" s="12"/>
      <c r="E191" s="12"/>
      <c r="F191" s="12"/>
      <c r="G191" s="12"/>
    </row>
    <row r="192" spans="1:7" ht="15.75" customHeight="1" thickBot="1">
      <c r="A192" s="10"/>
      <c r="B192" s="10"/>
      <c r="C192" s="12"/>
      <c r="D192" s="12"/>
      <c r="E192" s="12"/>
      <c r="F192" s="12"/>
      <c r="G192" s="12"/>
    </row>
    <row r="193" spans="1:7" ht="15.75" customHeight="1" thickBot="1">
      <c r="A193" s="10"/>
      <c r="B193" s="10"/>
      <c r="C193" s="12"/>
      <c r="D193" s="12"/>
      <c r="E193" s="12"/>
      <c r="F193" s="12"/>
      <c r="G193" s="12"/>
    </row>
    <row r="194" spans="1:7" ht="15.75" customHeight="1" thickBot="1">
      <c r="A194" s="10"/>
      <c r="B194" s="10"/>
      <c r="C194" s="12"/>
      <c r="D194" s="12"/>
      <c r="E194" s="12"/>
      <c r="F194" s="12"/>
      <c r="G194" s="12"/>
    </row>
    <row r="195" spans="1:7" ht="15.75" customHeight="1" thickBot="1">
      <c r="A195" s="10"/>
      <c r="B195" s="10"/>
      <c r="C195" s="12"/>
      <c r="D195" s="12"/>
      <c r="E195" s="12"/>
      <c r="F195" s="12"/>
      <c r="G195" s="12"/>
    </row>
    <row r="196" spans="1:7" ht="15.75" customHeight="1" thickBot="1">
      <c r="A196" s="10"/>
      <c r="B196" s="10"/>
      <c r="C196" s="12"/>
      <c r="D196" s="12"/>
      <c r="E196" s="12"/>
      <c r="F196" s="12"/>
      <c r="G196" s="12"/>
    </row>
    <row r="197" spans="1:7" ht="15.75" customHeight="1" thickBot="1">
      <c r="A197" s="10"/>
      <c r="B197" s="10"/>
      <c r="C197" s="12"/>
      <c r="D197" s="12"/>
      <c r="E197" s="12"/>
      <c r="F197" s="12"/>
      <c r="G197" s="12"/>
    </row>
    <row r="198" spans="1:7" ht="15.75" customHeight="1" thickBot="1">
      <c r="A198" s="10"/>
      <c r="B198" s="10"/>
      <c r="C198" s="12"/>
      <c r="D198" s="12"/>
      <c r="E198" s="12"/>
      <c r="F198" s="12"/>
      <c r="G198" s="12"/>
    </row>
    <row r="199" spans="1:7" ht="15.75" customHeight="1" thickBot="1">
      <c r="A199" s="10"/>
      <c r="B199" s="10"/>
      <c r="C199" s="12"/>
      <c r="D199" s="12"/>
      <c r="E199" s="12"/>
      <c r="F199" s="12"/>
      <c r="G199" s="12"/>
    </row>
    <row r="200" spans="1:7" ht="15.75" customHeight="1" thickBot="1">
      <c r="A200" s="10"/>
      <c r="B200" s="10"/>
      <c r="C200" s="12"/>
      <c r="D200" s="12"/>
      <c r="E200" s="12"/>
      <c r="F200" s="12"/>
      <c r="G200" s="12"/>
    </row>
    <row r="201" spans="1:7" ht="15.75" customHeight="1" thickBot="1">
      <c r="A201" s="10"/>
      <c r="B201" s="10"/>
      <c r="C201" s="12"/>
      <c r="D201" s="12"/>
      <c r="E201" s="12"/>
      <c r="F201" s="12"/>
      <c r="G201" s="12"/>
    </row>
    <row r="202" spans="1:7" ht="15.75" customHeight="1" thickBot="1">
      <c r="A202" s="10"/>
      <c r="B202" s="10"/>
      <c r="C202" s="12"/>
      <c r="D202" s="12"/>
      <c r="E202" s="12"/>
      <c r="F202" s="12"/>
      <c r="G202" s="12"/>
    </row>
    <row r="203" spans="1:7" ht="15.75" customHeight="1" thickBot="1">
      <c r="A203" s="10"/>
      <c r="B203" s="10"/>
      <c r="C203" s="12"/>
      <c r="D203" s="12"/>
      <c r="E203" s="12"/>
      <c r="F203" s="12"/>
      <c r="G203" s="12"/>
    </row>
    <row r="204" spans="1:7" ht="15.75" customHeight="1" thickBot="1">
      <c r="A204" s="10"/>
      <c r="B204" s="10"/>
      <c r="C204" s="12"/>
      <c r="D204" s="12"/>
      <c r="E204" s="12"/>
      <c r="F204" s="12"/>
      <c r="G204" s="12"/>
    </row>
    <row r="205" spans="1:7" ht="15.75" customHeight="1" thickBot="1">
      <c r="A205" s="10"/>
      <c r="B205" s="10"/>
      <c r="C205" s="12"/>
      <c r="D205" s="12"/>
      <c r="E205" s="12"/>
      <c r="F205" s="12"/>
      <c r="G205" s="12"/>
    </row>
    <row r="206" spans="1:7" ht="15.75" customHeight="1" thickBot="1">
      <c r="A206" s="10"/>
      <c r="B206" s="10"/>
      <c r="C206" s="12"/>
      <c r="D206" s="12"/>
      <c r="E206" s="12"/>
      <c r="F206" s="12"/>
      <c r="G206" s="12"/>
    </row>
    <row r="207" spans="1:7" ht="15.75" customHeight="1" thickBot="1">
      <c r="A207" s="10"/>
      <c r="B207" s="10"/>
      <c r="C207" s="12"/>
      <c r="D207" s="12"/>
      <c r="E207" s="12"/>
      <c r="F207" s="12"/>
      <c r="G207" s="12"/>
    </row>
    <row r="208" spans="1:7" ht="15.75" customHeight="1" thickBot="1">
      <c r="A208" s="10"/>
      <c r="B208" s="10"/>
      <c r="C208" s="12"/>
      <c r="D208" s="12"/>
      <c r="E208" s="12"/>
      <c r="F208" s="12"/>
      <c r="G208" s="12"/>
    </row>
    <row r="209" spans="1:7" ht="15.75" customHeight="1" thickBot="1">
      <c r="A209" s="10"/>
      <c r="B209" s="10"/>
      <c r="C209" s="12"/>
      <c r="D209" s="12"/>
      <c r="E209" s="12"/>
      <c r="F209" s="12"/>
      <c r="G209" s="12"/>
    </row>
    <row r="210" spans="1:7" ht="15.75" customHeight="1" thickBot="1">
      <c r="A210" s="10"/>
      <c r="B210" s="10"/>
      <c r="C210" s="12"/>
      <c r="D210" s="12"/>
      <c r="E210" s="12"/>
      <c r="F210" s="12"/>
      <c r="G210" s="12"/>
    </row>
    <row r="211" spans="1:7" ht="15.75" customHeight="1" thickBot="1">
      <c r="A211" s="10"/>
      <c r="B211" s="10"/>
      <c r="C211" s="12"/>
      <c r="D211" s="12"/>
      <c r="E211" s="12"/>
      <c r="F211" s="12"/>
      <c r="G211" s="12"/>
    </row>
    <row r="212" spans="1:7" ht="15.75" customHeight="1" thickBot="1">
      <c r="A212" s="10"/>
      <c r="B212" s="10"/>
      <c r="C212" s="12"/>
      <c r="D212" s="12"/>
      <c r="E212" s="12"/>
      <c r="F212" s="12"/>
      <c r="G212" s="12"/>
    </row>
    <row r="213" spans="1:7" ht="15.75" customHeight="1" thickBot="1">
      <c r="A213" s="10"/>
      <c r="B213" s="10"/>
      <c r="C213" s="12"/>
      <c r="D213" s="12"/>
      <c r="E213" s="12"/>
      <c r="F213" s="12"/>
      <c r="G213" s="12"/>
    </row>
    <row r="214" spans="1:7" ht="15.75" customHeight="1" thickBot="1">
      <c r="A214" s="10"/>
      <c r="B214" s="10"/>
      <c r="C214" s="12"/>
      <c r="D214" s="12"/>
      <c r="E214" s="12"/>
      <c r="F214" s="12"/>
      <c r="G214" s="12"/>
    </row>
    <row r="215" spans="1:7" ht="15.75" customHeight="1" thickBot="1">
      <c r="A215" s="10"/>
      <c r="B215" s="10"/>
      <c r="C215" s="12"/>
      <c r="D215" s="12"/>
      <c r="E215" s="12"/>
      <c r="F215" s="12"/>
      <c r="G215" s="12"/>
    </row>
    <row r="216" spans="1:7" ht="15.75" customHeight="1" thickBot="1">
      <c r="A216" s="10"/>
      <c r="B216" s="10"/>
      <c r="C216" s="12"/>
      <c r="D216" s="12"/>
      <c r="E216" s="12"/>
      <c r="F216" s="12"/>
      <c r="G216" s="12"/>
    </row>
    <row r="217" spans="1:7" ht="15.75" customHeight="1" thickBot="1">
      <c r="A217" s="10"/>
      <c r="B217" s="10"/>
      <c r="C217" s="12"/>
      <c r="D217" s="12"/>
      <c r="E217" s="12"/>
      <c r="F217" s="12"/>
      <c r="G217" s="12"/>
    </row>
    <row r="218" spans="1:7" ht="15.75" customHeight="1" thickBot="1">
      <c r="A218" s="10"/>
      <c r="B218" s="10"/>
      <c r="C218" s="12"/>
      <c r="D218" s="12"/>
      <c r="E218" s="12"/>
      <c r="F218" s="12"/>
      <c r="G218" s="12"/>
    </row>
    <row r="219" spans="1:7" ht="15.75" customHeight="1" thickBot="1">
      <c r="A219" s="10"/>
      <c r="B219" s="10"/>
      <c r="C219" s="12"/>
      <c r="D219" s="12"/>
      <c r="E219" s="12"/>
      <c r="F219" s="12"/>
      <c r="G219" s="12"/>
    </row>
    <row r="220" spans="1:7" ht="15.75" customHeight="1" thickBot="1">
      <c r="A220" s="10"/>
      <c r="B220" s="10"/>
      <c r="C220" s="12"/>
      <c r="D220" s="12"/>
      <c r="E220" s="12"/>
      <c r="F220" s="12"/>
      <c r="G220" s="12"/>
    </row>
    <row r="221" spans="1:7" ht="15.75" customHeight="1" thickBot="1">
      <c r="A221" s="10"/>
      <c r="B221" s="10"/>
      <c r="C221" s="12"/>
      <c r="D221" s="12"/>
      <c r="E221" s="12"/>
      <c r="F221" s="12"/>
      <c r="G221" s="12"/>
    </row>
    <row r="222" spans="1:7" ht="15.75" customHeight="1" thickBot="1">
      <c r="A222" s="10"/>
      <c r="B222" s="10"/>
      <c r="C222" s="12"/>
      <c r="D222" s="12"/>
      <c r="E222" s="12"/>
      <c r="F222" s="12"/>
      <c r="G222" s="12"/>
    </row>
    <row r="223" spans="1:7" ht="15.75" customHeight="1" thickBot="1">
      <c r="A223" s="10"/>
      <c r="B223" s="10"/>
      <c r="C223" s="12"/>
      <c r="D223" s="12"/>
      <c r="E223" s="12"/>
      <c r="F223" s="12"/>
      <c r="G223" s="12"/>
    </row>
    <row r="224" spans="1:7" ht="15.75" customHeight="1" thickBot="1">
      <c r="A224" s="10"/>
      <c r="B224" s="10"/>
      <c r="C224" s="12"/>
      <c r="D224" s="12"/>
      <c r="E224" s="12"/>
      <c r="F224" s="12"/>
      <c r="G224" s="12"/>
    </row>
    <row r="225" spans="1:7" ht="15.75" customHeight="1" thickBot="1">
      <c r="A225" s="10"/>
      <c r="B225" s="10"/>
      <c r="C225" s="12"/>
      <c r="D225" s="12"/>
      <c r="E225" s="12"/>
      <c r="F225" s="12"/>
      <c r="G225" s="12"/>
    </row>
    <row r="226" spans="1:7" ht="15.75" customHeight="1" thickBot="1">
      <c r="A226" s="10"/>
      <c r="B226" s="10"/>
      <c r="C226" s="12"/>
      <c r="D226" s="12"/>
      <c r="E226" s="12"/>
      <c r="F226" s="12"/>
      <c r="G226" s="12"/>
    </row>
    <row r="227" spans="1:7" ht="15.75" customHeight="1" thickBot="1">
      <c r="A227" s="10"/>
      <c r="B227" s="10"/>
      <c r="C227" s="12"/>
      <c r="D227" s="12"/>
      <c r="E227" s="12"/>
      <c r="F227" s="12"/>
      <c r="G227" s="12"/>
    </row>
    <row r="228" spans="1:7" ht="15.75" customHeight="1" thickBot="1">
      <c r="A228" s="10"/>
      <c r="B228" s="10"/>
      <c r="C228" s="12"/>
      <c r="D228" s="12"/>
      <c r="E228" s="12"/>
      <c r="F228" s="12"/>
      <c r="G228" s="12"/>
    </row>
    <row r="229" spans="1:7" ht="15.75" customHeight="1" thickBot="1">
      <c r="A229" s="10"/>
      <c r="B229" s="10"/>
      <c r="C229" s="12"/>
      <c r="D229" s="12"/>
      <c r="E229" s="12"/>
      <c r="F229" s="12"/>
      <c r="G229" s="12"/>
    </row>
    <row r="230" spans="1:7" ht="15.75" customHeight="1" thickBot="1">
      <c r="A230" s="10"/>
      <c r="B230" s="10"/>
      <c r="C230" s="12"/>
      <c r="D230" s="12"/>
      <c r="E230" s="12"/>
      <c r="F230" s="12"/>
      <c r="G230" s="12"/>
    </row>
    <row r="231" spans="1:7" ht="15.75" customHeight="1" thickBot="1">
      <c r="A231" s="10"/>
      <c r="B231" s="10"/>
      <c r="C231" s="12"/>
      <c r="D231" s="12"/>
      <c r="E231" s="12"/>
      <c r="F231" s="12"/>
      <c r="G231" s="12"/>
    </row>
    <row r="232" spans="1:7" ht="15.75" customHeight="1" thickBot="1">
      <c r="A232" s="10"/>
      <c r="B232" s="10"/>
      <c r="C232" s="12"/>
      <c r="D232" s="12"/>
      <c r="E232" s="12"/>
      <c r="F232" s="12"/>
      <c r="G232" s="12"/>
    </row>
    <row r="233" spans="1:7" ht="15.75" customHeight="1" thickBot="1">
      <c r="A233" s="10"/>
      <c r="B233" s="10"/>
      <c r="C233" s="12"/>
      <c r="D233" s="12"/>
      <c r="E233" s="12"/>
      <c r="F233" s="12"/>
      <c r="G233" s="12"/>
    </row>
    <row r="234" spans="1:7" ht="15.75" customHeight="1" thickBot="1">
      <c r="A234" s="10"/>
      <c r="B234" s="10"/>
      <c r="C234" s="12"/>
      <c r="D234" s="12"/>
      <c r="E234" s="12"/>
      <c r="F234" s="12"/>
      <c r="G234" s="12"/>
    </row>
    <row r="235" spans="1:7" ht="15.75" customHeight="1" thickBot="1">
      <c r="A235" s="10"/>
      <c r="B235" s="10"/>
      <c r="C235" s="12"/>
      <c r="D235" s="12"/>
      <c r="E235" s="12"/>
      <c r="F235" s="12"/>
      <c r="G235" s="12"/>
    </row>
    <row r="236" spans="1:7" ht="15.75" customHeight="1" thickBot="1">
      <c r="A236" s="10"/>
      <c r="B236" s="10"/>
      <c r="C236" s="12"/>
      <c r="D236" s="12"/>
      <c r="E236" s="12"/>
      <c r="F236" s="12"/>
      <c r="G236" s="12"/>
    </row>
    <row r="237" spans="1:7" ht="15.75" customHeight="1" thickBot="1">
      <c r="A237" s="10"/>
      <c r="B237" s="10"/>
      <c r="C237" s="12"/>
      <c r="D237" s="12"/>
      <c r="E237" s="12"/>
      <c r="F237" s="12"/>
      <c r="G237" s="12"/>
    </row>
    <row r="238" spans="1:7" ht="15.75" customHeight="1" thickBot="1">
      <c r="A238" s="10"/>
      <c r="B238" s="10"/>
      <c r="C238" s="12"/>
      <c r="D238" s="12"/>
      <c r="E238" s="12"/>
      <c r="F238" s="12"/>
      <c r="G238" s="12"/>
    </row>
    <row r="239" spans="1:7" ht="15.75" customHeight="1" thickBot="1">
      <c r="A239" s="10"/>
      <c r="B239" s="10"/>
      <c r="C239" s="12"/>
      <c r="D239" s="12"/>
      <c r="E239" s="12"/>
      <c r="F239" s="12"/>
      <c r="G239" s="12"/>
    </row>
    <row r="240" spans="1:7" ht="15.75" customHeight="1" thickBot="1">
      <c r="A240" s="10"/>
      <c r="B240" s="10"/>
      <c r="C240" s="12"/>
      <c r="D240" s="12"/>
      <c r="E240" s="12"/>
      <c r="F240" s="12"/>
      <c r="G240" s="12"/>
    </row>
    <row r="241" spans="1:7" ht="15.75" customHeight="1" thickBot="1">
      <c r="A241" s="10"/>
      <c r="B241" s="10"/>
      <c r="C241" s="12"/>
      <c r="D241" s="12"/>
      <c r="E241" s="12"/>
      <c r="F241" s="12"/>
      <c r="G241" s="12"/>
    </row>
    <row r="242" spans="1:7" ht="15.75" customHeight="1" thickBot="1">
      <c r="A242" s="10"/>
      <c r="B242" s="10"/>
      <c r="C242" s="12"/>
      <c r="D242" s="12"/>
      <c r="E242" s="12"/>
      <c r="F242" s="12"/>
      <c r="G242" s="12"/>
    </row>
    <row r="243" spans="1:7" ht="15.75" customHeight="1" thickBot="1">
      <c r="A243" s="10"/>
      <c r="B243" s="10"/>
      <c r="C243" s="12"/>
      <c r="D243" s="12"/>
      <c r="E243" s="12"/>
      <c r="F243" s="12"/>
      <c r="G243" s="12"/>
    </row>
    <row r="244" spans="1:7" ht="15.75" customHeight="1" thickBot="1">
      <c r="A244" s="10"/>
      <c r="B244" s="10"/>
      <c r="C244" s="12"/>
      <c r="D244" s="12"/>
      <c r="E244" s="12"/>
      <c r="F244" s="12"/>
      <c r="G244" s="12"/>
    </row>
    <row r="245" spans="1:7" ht="15.75" customHeight="1" thickBot="1">
      <c r="A245" s="10"/>
      <c r="B245" s="10"/>
      <c r="C245" s="12"/>
      <c r="D245" s="12"/>
      <c r="E245" s="12"/>
      <c r="F245" s="12"/>
      <c r="G245" s="12"/>
    </row>
    <row r="246" spans="1:7" ht="15.75" customHeight="1" thickBot="1">
      <c r="A246" s="10"/>
      <c r="B246" s="10"/>
      <c r="C246" s="12"/>
      <c r="D246" s="12"/>
      <c r="E246" s="12"/>
      <c r="F246" s="12"/>
      <c r="G246" s="12"/>
    </row>
    <row r="247" spans="1:7" ht="15.75" customHeight="1" thickBot="1">
      <c r="A247" s="10"/>
      <c r="B247" s="10"/>
      <c r="C247" s="12"/>
      <c r="D247" s="12"/>
      <c r="E247" s="12"/>
      <c r="F247" s="12"/>
      <c r="G247" s="12"/>
    </row>
    <row r="248" spans="1:7" ht="15.75" customHeight="1" thickBot="1">
      <c r="A248" s="10"/>
      <c r="B248" s="10"/>
      <c r="C248" s="12"/>
      <c r="D248" s="12"/>
      <c r="E248" s="12"/>
      <c r="F248" s="12"/>
      <c r="G248" s="12"/>
    </row>
    <row r="249" spans="1:7" ht="15.75" customHeight="1" thickBot="1">
      <c r="A249" s="10"/>
      <c r="B249" s="10"/>
      <c r="C249" s="12"/>
      <c r="D249" s="12"/>
      <c r="E249" s="12"/>
      <c r="F249" s="12"/>
      <c r="G249" s="12"/>
    </row>
    <row r="250" spans="1:7" ht="15.75" customHeight="1" thickBot="1">
      <c r="A250" s="10"/>
      <c r="B250" s="10"/>
      <c r="C250" s="12"/>
      <c r="D250" s="12"/>
      <c r="E250" s="12"/>
      <c r="F250" s="12"/>
      <c r="G250" s="12"/>
    </row>
    <row r="251" spans="1:7" ht="15.75" customHeight="1" thickBot="1">
      <c r="A251" s="10"/>
      <c r="B251" s="10"/>
      <c r="C251" s="12"/>
      <c r="D251" s="12"/>
      <c r="E251" s="12"/>
      <c r="F251" s="12"/>
      <c r="G251" s="12"/>
    </row>
    <row r="252" spans="1:7" ht="15.75" customHeight="1" thickBot="1">
      <c r="A252" s="10"/>
      <c r="B252" s="10"/>
      <c r="C252" s="12"/>
      <c r="D252" s="12"/>
      <c r="E252" s="12"/>
      <c r="F252" s="12"/>
      <c r="G252" s="12"/>
    </row>
    <row r="253" spans="1:7" ht="15.75" customHeight="1" thickBot="1">
      <c r="A253" s="10"/>
      <c r="B253" s="10"/>
      <c r="C253" s="12"/>
      <c r="D253" s="12"/>
      <c r="E253" s="12"/>
      <c r="F253" s="12"/>
      <c r="G253" s="12"/>
    </row>
    <row r="254" spans="1:7" ht="15.75" customHeight="1" thickBot="1">
      <c r="A254" s="10"/>
      <c r="B254" s="10"/>
      <c r="C254" s="12"/>
      <c r="D254" s="12"/>
      <c r="E254" s="12"/>
      <c r="F254" s="12"/>
      <c r="G254" s="12"/>
    </row>
    <row r="255" spans="1:7" ht="15.75" customHeight="1" thickBot="1">
      <c r="A255" s="10"/>
      <c r="B255" s="10"/>
      <c r="C255" s="12"/>
      <c r="D255" s="12"/>
      <c r="E255" s="12"/>
      <c r="F255" s="12"/>
      <c r="G255" s="12"/>
    </row>
    <row r="256" spans="1:7" ht="15.75" customHeight="1" thickBot="1">
      <c r="A256" s="10"/>
      <c r="B256" s="10"/>
      <c r="C256" s="12"/>
      <c r="D256" s="12"/>
      <c r="E256" s="12"/>
      <c r="F256" s="12"/>
      <c r="G256" s="12"/>
    </row>
    <row r="257" spans="1:7" ht="15.75" customHeight="1" thickBot="1">
      <c r="A257" s="10"/>
      <c r="B257" s="10"/>
      <c r="C257" s="12"/>
      <c r="D257" s="12"/>
      <c r="E257" s="12"/>
      <c r="F257" s="12"/>
      <c r="G257" s="12"/>
    </row>
    <row r="258" spans="1:7" ht="15.75" customHeight="1" thickBot="1">
      <c r="A258" s="10"/>
      <c r="B258" s="10"/>
      <c r="C258" s="12"/>
      <c r="D258" s="12"/>
      <c r="E258" s="12"/>
      <c r="F258" s="12"/>
      <c r="G258" s="12"/>
    </row>
    <row r="259" spans="1:7" ht="15.75" customHeight="1" thickBot="1">
      <c r="A259" s="10"/>
      <c r="B259" s="10"/>
      <c r="C259" s="12"/>
      <c r="D259" s="12"/>
      <c r="E259" s="12"/>
      <c r="F259" s="12"/>
      <c r="G259" s="12"/>
    </row>
    <row r="260" spans="1:7" ht="15.75" customHeight="1" thickBot="1">
      <c r="A260" s="10"/>
      <c r="B260" s="10"/>
      <c r="C260" s="12"/>
      <c r="D260" s="12"/>
      <c r="E260" s="12"/>
      <c r="F260" s="12"/>
      <c r="G260" s="12"/>
    </row>
    <row r="261" spans="1:7" ht="15.75" customHeight="1" thickBot="1">
      <c r="A261" s="10"/>
      <c r="B261" s="10"/>
      <c r="C261" s="12"/>
      <c r="D261" s="12"/>
      <c r="E261" s="12"/>
      <c r="F261" s="12"/>
      <c r="G261" s="12"/>
    </row>
    <row r="262" spans="1:7" ht="15.75" customHeight="1" thickBot="1">
      <c r="A262" s="10"/>
      <c r="B262" s="10"/>
      <c r="C262" s="12"/>
      <c r="D262" s="12"/>
      <c r="E262" s="12"/>
      <c r="F262" s="12"/>
      <c r="G262" s="12"/>
    </row>
    <row r="263" spans="1:7" ht="15.75" customHeight="1" thickBot="1">
      <c r="A263" s="10"/>
      <c r="B263" s="10"/>
      <c r="C263" s="12"/>
      <c r="D263" s="12"/>
      <c r="E263" s="12"/>
      <c r="F263" s="12"/>
      <c r="G263" s="12"/>
    </row>
    <row r="264" spans="1:7" ht="15.75" customHeight="1" thickBot="1">
      <c r="A264" s="10"/>
      <c r="B264" s="10"/>
      <c r="C264" s="12"/>
      <c r="D264" s="12"/>
      <c r="E264" s="12"/>
      <c r="F264" s="12"/>
      <c r="G264" s="12"/>
    </row>
    <row r="265" spans="1:7" ht="15.75" customHeight="1" thickBot="1">
      <c r="A265" s="10"/>
      <c r="B265" s="10"/>
      <c r="C265" s="12"/>
      <c r="D265" s="12"/>
      <c r="E265" s="12"/>
      <c r="F265" s="12"/>
      <c r="G265" s="12"/>
    </row>
    <row r="266" spans="1:7" ht="15.75" customHeight="1" thickBot="1">
      <c r="A266" s="10"/>
      <c r="B266" s="10"/>
      <c r="C266" s="12"/>
      <c r="D266" s="12"/>
      <c r="E266" s="12"/>
      <c r="F266" s="12"/>
      <c r="G266" s="12"/>
    </row>
    <row r="267" spans="1:7" ht="15.75" customHeight="1" thickBot="1">
      <c r="A267" s="10"/>
      <c r="B267" s="10"/>
      <c r="C267" s="12"/>
      <c r="D267" s="12"/>
      <c r="E267" s="12"/>
      <c r="F267" s="12"/>
      <c r="G267" s="12"/>
    </row>
    <row r="268" spans="1:7" ht="15.75" customHeight="1" thickBot="1">
      <c r="A268" s="10"/>
      <c r="B268" s="10"/>
      <c r="C268" s="12"/>
      <c r="D268" s="12"/>
      <c r="E268" s="12"/>
      <c r="F268" s="12"/>
      <c r="G268" s="12"/>
    </row>
    <row r="269" spans="1:7" ht="15.75" customHeight="1" thickBot="1">
      <c r="A269" s="10"/>
      <c r="B269" s="10"/>
      <c r="C269" s="12"/>
      <c r="D269" s="12"/>
      <c r="E269" s="12"/>
      <c r="F269" s="12"/>
      <c r="G269" s="12"/>
    </row>
    <row r="270" spans="1:7" ht="15.75" customHeight="1" thickBot="1">
      <c r="A270" s="10"/>
      <c r="B270" s="10"/>
      <c r="C270" s="12"/>
      <c r="D270" s="12"/>
      <c r="E270" s="12"/>
      <c r="F270" s="12"/>
      <c r="G270" s="12"/>
    </row>
    <row r="271" spans="1:7" ht="15.75" customHeight="1" thickBot="1">
      <c r="A271" s="10"/>
      <c r="B271" s="10"/>
      <c r="C271" s="12"/>
      <c r="D271" s="12"/>
      <c r="E271" s="12"/>
      <c r="F271" s="12"/>
      <c r="G271" s="12"/>
    </row>
    <row r="272" spans="1:7" ht="15.75" customHeight="1" thickBot="1">
      <c r="A272" s="10"/>
      <c r="B272" s="10"/>
      <c r="C272" s="12"/>
      <c r="D272" s="12"/>
      <c r="E272" s="12"/>
      <c r="F272" s="12"/>
      <c r="G272" s="12"/>
    </row>
    <row r="273" spans="1:7" ht="15.75" customHeight="1" thickBot="1">
      <c r="A273" s="10"/>
      <c r="B273" s="10"/>
      <c r="C273" s="12"/>
      <c r="D273" s="12"/>
      <c r="E273" s="12"/>
      <c r="F273" s="12"/>
      <c r="G273" s="12"/>
    </row>
    <row r="274" spans="1:7" ht="15.75" customHeight="1" thickBot="1">
      <c r="A274" s="10"/>
      <c r="B274" s="10"/>
      <c r="C274" s="12"/>
      <c r="D274" s="12"/>
      <c r="E274" s="12"/>
      <c r="F274" s="12"/>
      <c r="G274" s="12"/>
    </row>
    <row r="275" spans="1:7" ht="15.75" customHeight="1" thickBot="1">
      <c r="A275" s="10"/>
      <c r="B275" s="10"/>
      <c r="C275" s="12"/>
      <c r="D275" s="12"/>
      <c r="E275" s="12"/>
      <c r="F275" s="12"/>
      <c r="G275" s="12"/>
    </row>
    <row r="276" spans="1:7" ht="15.75" customHeight="1" thickBot="1">
      <c r="A276" s="10"/>
      <c r="B276" s="10"/>
      <c r="C276" s="12"/>
      <c r="D276" s="12"/>
      <c r="E276" s="12"/>
      <c r="F276" s="12"/>
      <c r="G276" s="12"/>
    </row>
    <row r="277" spans="1:7" ht="15.75" customHeight="1" thickBot="1">
      <c r="A277" s="10"/>
      <c r="B277" s="10"/>
      <c r="C277" s="12"/>
      <c r="D277" s="12"/>
      <c r="E277" s="12"/>
      <c r="F277" s="12"/>
      <c r="G277" s="12"/>
    </row>
    <row r="278" spans="1:7" ht="15.75" customHeight="1" thickBot="1">
      <c r="A278" s="10"/>
      <c r="B278" s="10"/>
      <c r="C278" s="12"/>
      <c r="D278" s="12"/>
      <c r="E278" s="12"/>
      <c r="F278" s="12"/>
      <c r="G278" s="12"/>
    </row>
    <row r="279" spans="1:7" ht="15.75" customHeight="1" thickBot="1">
      <c r="A279" s="10"/>
      <c r="B279" s="10"/>
      <c r="C279" s="12"/>
      <c r="D279" s="12"/>
      <c r="E279" s="12"/>
      <c r="F279" s="12"/>
      <c r="G279" s="12"/>
    </row>
    <row r="280" spans="1:7" ht="15.75" customHeight="1" thickBot="1">
      <c r="A280" s="10"/>
      <c r="B280" s="10"/>
      <c r="C280" s="12"/>
      <c r="D280" s="12"/>
      <c r="E280" s="12"/>
      <c r="F280" s="12"/>
      <c r="G280" s="12"/>
    </row>
    <row r="281" spans="1:7" ht="15.75" customHeight="1" thickBot="1">
      <c r="A281" s="10"/>
      <c r="B281" s="10"/>
      <c r="C281" s="12"/>
      <c r="D281" s="12"/>
      <c r="E281" s="12"/>
      <c r="F281" s="12"/>
      <c r="G281" s="12"/>
    </row>
    <row r="282" spans="1:7" ht="15.75" customHeight="1" thickBot="1">
      <c r="A282" s="10"/>
      <c r="B282" s="10"/>
      <c r="C282" s="12"/>
      <c r="D282" s="12"/>
      <c r="E282" s="12"/>
      <c r="F282" s="12"/>
      <c r="G282" s="12"/>
    </row>
    <row r="283" spans="1:7" ht="15.75" customHeight="1" thickBot="1">
      <c r="A283" s="10"/>
      <c r="B283" s="10"/>
      <c r="C283" s="12"/>
      <c r="D283" s="12"/>
      <c r="E283" s="12"/>
      <c r="F283" s="12"/>
      <c r="G283" s="12"/>
    </row>
    <row r="284" spans="1:7" ht="15.75" customHeight="1" thickBot="1">
      <c r="A284" s="10"/>
      <c r="B284" s="10"/>
      <c r="C284" s="12"/>
      <c r="D284" s="12"/>
      <c r="E284" s="12"/>
      <c r="F284" s="12"/>
      <c r="G284" s="12"/>
    </row>
    <row r="285" spans="1:7" ht="15.75" customHeight="1" thickBot="1">
      <c r="A285" s="10"/>
      <c r="B285" s="10"/>
      <c r="C285" s="12"/>
      <c r="D285" s="12"/>
      <c r="E285" s="12"/>
      <c r="F285" s="12"/>
      <c r="G285" s="12"/>
    </row>
    <row r="286" spans="1:7" ht="15.75" customHeight="1" thickBot="1">
      <c r="A286" s="10"/>
      <c r="B286" s="10"/>
      <c r="C286" s="12"/>
      <c r="D286" s="12"/>
      <c r="E286" s="12"/>
      <c r="F286" s="12"/>
      <c r="G286" s="12"/>
    </row>
    <row r="287" spans="1:7" ht="15.75" customHeight="1" thickBot="1">
      <c r="A287" s="10"/>
      <c r="B287" s="10"/>
      <c r="C287" s="12"/>
      <c r="D287" s="12"/>
      <c r="E287" s="12"/>
      <c r="F287" s="12"/>
      <c r="G287" s="12"/>
    </row>
    <row r="288" spans="1:7" ht="15.75" customHeight="1" thickBot="1">
      <c r="A288" s="10"/>
      <c r="B288" s="10"/>
      <c r="C288" s="12"/>
      <c r="D288" s="12"/>
      <c r="E288" s="12"/>
      <c r="F288" s="12"/>
      <c r="G288" s="12"/>
    </row>
    <row r="289" spans="1:7" ht="15.75" customHeight="1" thickBot="1">
      <c r="A289" s="10"/>
      <c r="B289" s="10"/>
      <c r="C289" s="12"/>
      <c r="D289" s="12"/>
      <c r="E289" s="12"/>
      <c r="F289" s="12"/>
      <c r="G289" s="12"/>
    </row>
    <row r="290" spans="1:7" ht="15.75" customHeight="1" thickBot="1">
      <c r="A290" s="10"/>
      <c r="B290" s="10"/>
      <c r="C290" s="12"/>
      <c r="D290" s="12"/>
      <c r="E290" s="12"/>
      <c r="F290" s="12"/>
      <c r="G290" s="12"/>
    </row>
    <row r="291" spans="1:7" ht="15.75" customHeight="1" thickBot="1">
      <c r="A291" s="10"/>
      <c r="B291" s="10"/>
      <c r="C291" s="12"/>
      <c r="D291" s="12"/>
      <c r="E291" s="12"/>
      <c r="F291" s="12"/>
      <c r="G291" s="12"/>
    </row>
    <row r="292" spans="1:7" ht="15.75" customHeight="1" thickBot="1">
      <c r="A292" s="10"/>
      <c r="B292" s="10"/>
      <c r="C292" s="12"/>
      <c r="D292" s="12"/>
      <c r="E292" s="12"/>
      <c r="F292" s="12"/>
      <c r="G292" s="12"/>
    </row>
    <row r="293" spans="1:7" ht="15.75" customHeight="1" thickBot="1">
      <c r="A293" s="10"/>
      <c r="B293" s="10"/>
      <c r="C293" s="12"/>
      <c r="D293" s="12"/>
      <c r="E293" s="12"/>
      <c r="F293" s="12"/>
      <c r="G293" s="12"/>
    </row>
    <row r="294" spans="1:7" ht="15.75" customHeight="1" thickBot="1">
      <c r="A294" s="10"/>
      <c r="B294" s="10"/>
      <c r="C294" s="12"/>
      <c r="D294" s="12"/>
      <c r="E294" s="12"/>
      <c r="F294" s="12"/>
      <c r="G294" s="12"/>
    </row>
    <row r="295" spans="1:7" ht="15.75" customHeight="1" thickBot="1">
      <c r="A295" s="10"/>
      <c r="B295" s="10"/>
      <c r="C295" s="12"/>
      <c r="D295" s="12"/>
      <c r="E295" s="12"/>
      <c r="F295" s="12"/>
      <c r="G295" s="12"/>
    </row>
    <row r="296" spans="1:7" ht="15.75" customHeight="1" thickBot="1">
      <c r="A296" s="10"/>
      <c r="B296" s="10"/>
      <c r="C296" s="12"/>
      <c r="D296" s="12"/>
      <c r="E296" s="12"/>
      <c r="F296" s="12"/>
      <c r="G296" s="12"/>
    </row>
    <row r="297" spans="1:7" ht="15.75" customHeight="1" thickBot="1">
      <c r="A297" s="10"/>
      <c r="B297" s="10"/>
      <c r="C297" s="12"/>
      <c r="D297" s="12"/>
      <c r="E297" s="12"/>
      <c r="F297" s="12"/>
      <c r="G297" s="12"/>
    </row>
    <row r="298" spans="1:7" ht="15.75" customHeight="1" thickBot="1">
      <c r="A298" s="10"/>
      <c r="B298" s="10"/>
      <c r="C298" s="12"/>
      <c r="D298" s="12"/>
      <c r="E298" s="12"/>
      <c r="F298" s="12"/>
      <c r="G298" s="12"/>
    </row>
    <row r="299" spans="1:7" ht="15.75" customHeight="1" thickBot="1">
      <c r="A299" s="10"/>
      <c r="B299" s="10"/>
      <c r="C299" s="12"/>
      <c r="D299" s="12"/>
      <c r="E299" s="12"/>
      <c r="F299" s="12"/>
      <c r="G299" s="12"/>
    </row>
    <row r="300" spans="1:7" ht="15.75" customHeight="1" thickBot="1">
      <c r="A300" s="10"/>
      <c r="B300" s="10"/>
      <c r="C300" s="12"/>
      <c r="D300" s="12"/>
      <c r="E300" s="12"/>
      <c r="F300" s="12"/>
      <c r="G300" s="12"/>
    </row>
    <row r="301" spans="1:7" ht="15.75" customHeight="1" thickBot="1">
      <c r="A301" s="10"/>
      <c r="B301" s="10"/>
      <c r="C301" s="12"/>
      <c r="D301" s="12"/>
      <c r="E301" s="12"/>
      <c r="F301" s="12"/>
      <c r="G301" s="12"/>
    </row>
    <row r="302" spans="1:7" ht="15.75" customHeight="1" thickBot="1">
      <c r="A302" s="10"/>
      <c r="B302" s="10"/>
      <c r="C302" s="12"/>
      <c r="D302" s="12"/>
      <c r="E302" s="12"/>
      <c r="F302" s="12"/>
      <c r="G302" s="12"/>
    </row>
    <row r="303" spans="1:7" ht="15.75" customHeight="1" thickBot="1">
      <c r="A303" s="10"/>
      <c r="B303" s="10"/>
      <c r="C303" s="12"/>
      <c r="D303" s="12"/>
      <c r="E303" s="12"/>
      <c r="F303" s="12"/>
      <c r="G303" s="12"/>
    </row>
    <row r="304" spans="1:7" ht="15.75" customHeight="1" thickBot="1">
      <c r="A304" s="10"/>
      <c r="B304" s="10"/>
      <c r="C304" s="12"/>
      <c r="D304" s="12"/>
      <c r="E304" s="12"/>
      <c r="F304" s="12"/>
      <c r="G304" s="12"/>
    </row>
    <row r="305" spans="1:7" ht="15.75" customHeight="1" thickBot="1">
      <c r="A305" s="10"/>
      <c r="B305" s="10"/>
      <c r="C305" s="12"/>
      <c r="D305" s="12"/>
      <c r="E305" s="12"/>
      <c r="F305" s="12"/>
      <c r="G305" s="12"/>
    </row>
    <row r="306" spans="1:7" ht="15.75" customHeight="1" thickBot="1">
      <c r="A306" s="10"/>
      <c r="B306" s="10"/>
      <c r="C306" s="12"/>
      <c r="D306" s="12"/>
      <c r="E306" s="12"/>
      <c r="F306" s="12"/>
      <c r="G306" s="12"/>
    </row>
    <row r="307" spans="1:7" ht="15.75" customHeight="1" thickBot="1">
      <c r="A307" s="10"/>
      <c r="B307" s="10"/>
      <c r="C307" s="12"/>
      <c r="D307" s="12"/>
      <c r="E307" s="12"/>
      <c r="F307" s="12"/>
      <c r="G307" s="12"/>
    </row>
    <row r="308" spans="1:7" ht="15.75" customHeight="1" thickBot="1">
      <c r="A308" s="10"/>
      <c r="B308" s="10"/>
      <c r="C308" s="12"/>
      <c r="D308" s="12"/>
      <c r="E308" s="12"/>
      <c r="F308" s="12"/>
      <c r="G308" s="12"/>
    </row>
    <row r="309" spans="1:7" ht="15.75" customHeight="1" thickBot="1">
      <c r="A309" s="10"/>
      <c r="B309" s="10"/>
      <c r="C309" s="12"/>
      <c r="D309" s="12"/>
      <c r="E309" s="12"/>
      <c r="F309" s="12"/>
      <c r="G309" s="12"/>
    </row>
    <row r="310" spans="1:7" ht="15.75" customHeight="1" thickBot="1">
      <c r="A310" s="10"/>
      <c r="B310" s="10"/>
      <c r="C310" s="12"/>
      <c r="D310" s="12"/>
      <c r="E310" s="12"/>
      <c r="F310" s="12"/>
      <c r="G310" s="12"/>
    </row>
    <row r="311" spans="1:7" ht="15.75" customHeight="1" thickBot="1">
      <c r="A311" s="10"/>
      <c r="B311" s="10"/>
      <c r="C311" s="12"/>
      <c r="D311" s="12"/>
      <c r="E311" s="12"/>
      <c r="F311" s="12"/>
      <c r="G311" s="12"/>
    </row>
    <row r="312" spans="1:7" ht="15.75" customHeight="1" thickBot="1">
      <c r="A312" s="10"/>
      <c r="B312" s="10"/>
      <c r="C312" s="12"/>
      <c r="D312" s="12"/>
      <c r="E312" s="12"/>
      <c r="F312" s="12"/>
      <c r="G312" s="12"/>
    </row>
    <row r="313" spans="1:7" ht="15.75" customHeight="1" thickBot="1">
      <c r="A313" s="10"/>
      <c r="B313" s="10"/>
      <c r="C313" s="12"/>
      <c r="D313" s="12"/>
      <c r="E313" s="12"/>
      <c r="F313" s="12"/>
      <c r="G313" s="12"/>
    </row>
    <row r="314" spans="1:7" ht="15.75" customHeight="1" thickBot="1">
      <c r="A314" s="10"/>
      <c r="B314" s="10"/>
      <c r="C314" s="12"/>
      <c r="D314" s="12"/>
      <c r="E314" s="12"/>
      <c r="F314" s="12"/>
      <c r="G314" s="12"/>
    </row>
    <row r="315" spans="1:7" ht="15.75" customHeight="1" thickBot="1">
      <c r="A315" s="10"/>
      <c r="B315" s="10"/>
      <c r="C315" s="12"/>
      <c r="D315" s="12"/>
      <c r="E315" s="12"/>
      <c r="F315" s="12"/>
      <c r="G315" s="12"/>
    </row>
    <row r="316" spans="1:7" ht="15.75" customHeight="1" thickBot="1">
      <c r="A316" s="10"/>
      <c r="B316" s="10"/>
      <c r="C316" s="12"/>
      <c r="D316" s="12"/>
      <c r="E316" s="12"/>
      <c r="F316" s="12"/>
      <c r="G316" s="12"/>
    </row>
    <row r="317" spans="1:7" ht="15.75" customHeight="1" thickBot="1">
      <c r="A317" s="10"/>
      <c r="B317" s="10"/>
      <c r="C317" s="12"/>
      <c r="D317" s="12"/>
      <c r="E317" s="12"/>
      <c r="F317" s="12"/>
      <c r="G317" s="12"/>
    </row>
    <row r="318" spans="1:7" ht="15.75" customHeight="1" thickBot="1">
      <c r="A318" s="10"/>
      <c r="B318" s="10"/>
      <c r="C318" s="12"/>
      <c r="D318" s="12"/>
      <c r="E318" s="12"/>
      <c r="F318" s="12"/>
      <c r="G318" s="12"/>
    </row>
    <row r="319" spans="1:7" ht="15.75" customHeight="1" thickBot="1">
      <c r="A319" s="10"/>
      <c r="B319" s="10"/>
      <c r="C319" s="12"/>
      <c r="D319" s="12"/>
      <c r="E319" s="12"/>
      <c r="F319" s="12"/>
      <c r="G319" s="12"/>
    </row>
    <row r="320" spans="1:7" ht="15.75" customHeight="1" thickBot="1">
      <c r="A320" s="10"/>
      <c r="B320" s="10"/>
      <c r="C320" s="12"/>
      <c r="D320" s="12"/>
      <c r="E320" s="12"/>
      <c r="F320" s="12"/>
      <c r="G320" s="12"/>
    </row>
    <row r="321" spans="1:7" ht="15.75" customHeight="1" thickBot="1">
      <c r="A321" s="10"/>
      <c r="B321" s="10"/>
      <c r="C321" s="12"/>
      <c r="D321" s="12"/>
      <c r="E321" s="12"/>
      <c r="F321" s="12"/>
      <c r="G321" s="12"/>
    </row>
    <row r="322" spans="1:7" ht="15.75" customHeight="1" thickBot="1">
      <c r="A322" s="10"/>
      <c r="B322" s="10"/>
      <c r="C322" s="12"/>
      <c r="D322" s="12"/>
      <c r="E322" s="12"/>
      <c r="F322" s="12"/>
      <c r="G322" s="12"/>
    </row>
    <row r="323" spans="1:7" ht="15.75" customHeight="1" thickBot="1">
      <c r="A323" s="10"/>
      <c r="B323" s="10"/>
      <c r="C323" s="12"/>
      <c r="D323" s="12"/>
      <c r="E323" s="12"/>
      <c r="F323" s="12"/>
      <c r="G323" s="12"/>
    </row>
    <row r="324" spans="1:7" ht="15.75" customHeight="1" thickBot="1">
      <c r="A324" s="10"/>
      <c r="B324" s="10"/>
      <c r="C324" s="12"/>
      <c r="D324" s="12"/>
      <c r="E324" s="12"/>
      <c r="F324" s="12"/>
      <c r="G324" s="12"/>
    </row>
    <row r="325" spans="1:7" ht="15.75" customHeight="1" thickBot="1">
      <c r="A325" s="10"/>
      <c r="B325" s="10"/>
      <c r="C325" s="12"/>
      <c r="D325" s="12"/>
      <c r="E325" s="12"/>
      <c r="F325" s="12"/>
      <c r="G325" s="12"/>
    </row>
    <row r="326" spans="1:7" ht="15.75" customHeight="1" thickBot="1">
      <c r="A326" s="10"/>
      <c r="B326" s="10"/>
      <c r="C326" s="12"/>
      <c r="D326" s="12"/>
      <c r="E326" s="12"/>
      <c r="F326" s="12"/>
      <c r="G326" s="12"/>
    </row>
    <row r="327" spans="1:7" ht="15.75" customHeight="1" thickBot="1">
      <c r="A327" s="10"/>
      <c r="B327" s="10"/>
      <c r="C327" s="12"/>
      <c r="D327" s="12"/>
      <c r="E327" s="12"/>
      <c r="F327" s="12"/>
      <c r="G327" s="12"/>
    </row>
    <row r="328" spans="1:7" ht="15.75" customHeight="1" thickBot="1">
      <c r="A328" s="10"/>
      <c r="B328" s="10"/>
      <c r="C328" s="12"/>
      <c r="D328" s="12"/>
      <c r="E328" s="12"/>
      <c r="F328" s="12"/>
      <c r="G328" s="12"/>
    </row>
    <row r="329" spans="1:7" ht="15.75" customHeight="1" thickBot="1">
      <c r="A329" s="10"/>
      <c r="B329" s="10"/>
      <c r="C329" s="12"/>
      <c r="D329" s="12"/>
      <c r="E329" s="12"/>
      <c r="F329" s="12"/>
      <c r="G329" s="12"/>
    </row>
    <row r="330" spans="1:7" ht="15.75" customHeight="1" thickBot="1">
      <c r="A330" s="10"/>
      <c r="B330" s="10"/>
      <c r="C330" s="12"/>
      <c r="D330" s="12"/>
      <c r="E330" s="12"/>
      <c r="F330" s="12"/>
      <c r="G330" s="12"/>
    </row>
    <row r="331" spans="1:7" ht="15.75" customHeight="1" thickBot="1">
      <c r="A331" s="10"/>
      <c r="B331" s="10"/>
      <c r="C331" s="12"/>
      <c r="D331" s="12"/>
      <c r="E331" s="12"/>
      <c r="F331" s="12"/>
      <c r="G331" s="12"/>
    </row>
    <row r="332" spans="1:7" ht="15.75" customHeight="1" thickBot="1">
      <c r="A332" s="10"/>
      <c r="B332" s="10"/>
      <c r="C332" s="12"/>
      <c r="D332" s="12"/>
      <c r="E332" s="12"/>
      <c r="F332" s="12"/>
      <c r="G332" s="12"/>
    </row>
    <row r="333" spans="1:7" ht="15.75" customHeight="1" thickBot="1">
      <c r="A333" s="10"/>
      <c r="B333" s="10"/>
      <c r="C333" s="12"/>
      <c r="D333" s="12"/>
      <c r="E333" s="12"/>
      <c r="F333" s="12"/>
      <c r="G333" s="12"/>
    </row>
    <row r="334" spans="1:7" ht="15.75" customHeight="1" thickBot="1">
      <c r="A334" s="10"/>
      <c r="B334" s="10"/>
      <c r="C334" s="12"/>
      <c r="D334" s="12"/>
      <c r="E334" s="12"/>
      <c r="F334" s="12"/>
      <c r="G334" s="12"/>
    </row>
    <row r="335" spans="1:7" ht="15.75" customHeight="1" thickBot="1">
      <c r="A335" s="10"/>
      <c r="B335" s="10"/>
      <c r="C335" s="12"/>
      <c r="D335" s="12"/>
      <c r="E335" s="12"/>
      <c r="F335" s="12"/>
      <c r="G335" s="12"/>
    </row>
    <row r="336" spans="1:7" ht="15.75" customHeight="1" thickBot="1">
      <c r="A336" s="10"/>
      <c r="B336" s="10"/>
      <c r="C336" s="12"/>
      <c r="D336" s="12"/>
      <c r="E336" s="12"/>
      <c r="F336" s="12"/>
      <c r="G336" s="12"/>
    </row>
    <row r="337" spans="1:7" ht="15.75" customHeight="1" thickBot="1">
      <c r="A337" s="10"/>
      <c r="B337" s="10"/>
      <c r="C337" s="12"/>
      <c r="D337" s="12"/>
      <c r="E337" s="12"/>
      <c r="F337" s="12"/>
      <c r="G337" s="12"/>
    </row>
    <row r="338" spans="1:7" ht="15.75" customHeight="1" thickBot="1">
      <c r="A338" s="10"/>
      <c r="B338" s="10"/>
      <c r="C338" s="12"/>
      <c r="D338" s="12"/>
      <c r="E338" s="12"/>
      <c r="F338" s="12"/>
      <c r="G338" s="12"/>
    </row>
    <row r="339" spans="1:7" ht="15.75" customHeight="1" thickBot="1">
      <c r="A339" s="10"/>
      <c r="B339" s="10"/>
      <c r="C339" s="12"/>
      <c r="D339" s="12"/>
      <c r="E339" s="12"/>
      <c r="F339" s="12"/>
      <c r="G339" s="12"/>
    </row>
    <row r="340" spans="1:7" ht="15.75" customHeight="1" thickBot="1">
      <c r="A340" s="10"/>
      <c r="B340" s="10"/>
      <c r="C340" s="12"/>
      <c r="D340" s="12"/>
      <c r="E340" s="12"/>
      <c r="F340" s="12"/>
      <c r="G340" s="12"/>
    </row>
    <row r="341" spans="1:7" ht="15.75" customHeight="1" thickBot="1">
      <c r="A341" s="10"/>
      <c r="B341" s="10"/>
      <c r="C341" s="12"/>
      <c r="D341" s="12"/>
      <c r="E341" s="12"/>
      <c r="F341" s="12"/>
      <c r="G341" s="12"/>
    </row>
    <row r="342" spans="1:7" ht="15.75" customHeight="1" thickBot="1">
      <c r="A342" s="10"/>
      <c r="B342" s="10"/>
      <c r="C342" s="12"/>
      <c r="D342" s="12"/>
      <c r="E342" s="12"/>
      <c r="F342" s="12"/>
      <c r="G342" s="12"/>
    </row>
    <row r="343" spans="1:7" ht="15.75" customHeight="1" thickBot="1">
      <c r="A343" s="10"/>
      <c r="B343" s="10"/>
      <c r="C343" s="12"/>
      <c r="D343" s="12"/>
      <c r="E343" s="12"/>
      <c r="F343" s="12"/>
      <c r="G343" s="12"/>
    </row>
    <row r="344" spans="1:7" ht="15.75" customHeight="1" thickBot="1">
      <c r="A344" s="10"/>
      <c r="B344" s="10"/>
      <c r="C344" s="12"/>
      <c r="D344" s="12"/>
      <c r="E344" s="12"/>
      <c r="F344" s="12"/>
      <c r="G344" s="12"/>
    </row>
    <row r="345" spans="1:7" ht="15.75" customHeight="1" thickBot="1">
      <c r="A345" s="10"/>
      <c r="B345" s="10"/>
      <c r="C345" s="12"/>
      <c r="D345" s="12"/>
      <c r="E345" s="12"/>
      <c r="F345" s="12"/>
      <c r="G345" s="12"/>
    </row>
    <row r="346" spans="1:7" ht="15.75" customHeight="1" thickBot="1">
      <c r="A346" s="10"/>
      <c r="B346" s="10"/>
      <c r="C346" s="12"/>
      <c r="D346" s="12"/>
      <c r="E346" s="12"/>
      <c r="F346" s="12"/>
      <c r="G346" s="12"/>
    </row>
    <row r="347" spans="1:7" ht="15.75" customHeight="1" thickBot="1">
      <c r="A347" s="10"/>
      <c r="B347" s="10"/>
      <c r="C347" s="12"/>
      <c r="D347" s="12"/>
      <c r="E347" s="12"/>
      <c r="F347" s="12"/>
      <c r="G347" s="12"/>
    </row>
    <row r="348" spans="1:7" ht="15.75" customHeight="1" thickBot="1">
      <c r="A348" s="10"/>
      <c r="B348" s="10"/>
      <c r="C348" s="12"/>
      <c r="D348" s="12"/>
      <c r="E348" s="12"/>
      <c r="F348" s="12"/>
      <c r="G348" s="12"/>
    </row>
    <row r="349" spans="1:7" ht="15.75" customHeight="1" thickBot="1">
      <c r="A349" s="10"/>
      <c r="B349" s="10"/>
      <c r="C349" s="12"/>
      <c r="D349" s="12"/>
      <c r="E349" s="12"/>
      <c r="F349" s="12"/>
      <c r="G349" s="12"/>
    </row>
    <row r="350" spans="1:7" ht="15.75" customHeight="1" thickBot="1">
      <c r="A350" s="10"/>
      <c r="B350" s="10"/>
      <c r="C350" s="12"/>
      <c r="D350" s="12"/>
      <c r="E350" s="12"/>
      <c r="F350" s="12"/>
      <c r="G350" s="12"/>
    </row>
    <row r="351" spans="1:7" ht="15.75" customHeight="1" thickBot="1">
      <c r="A351" s="10"/>
      <c r="B351" s="10"/>
      <c r="C351" s="12"/>
      <c r="D351" s="12"/>
      <c r="E351" s="12"/>
      <c r="F351" s="12"/>
      <c r="G351" s="12"/>
    </row>
    <row r="352" spans="1:7" ht="15.75" customHeight="1" thickBot="1">
      <c r="A352" s="10"/>
      <c r="B352" s="10"/>
      <c r="C352" s="12"/>
      <c r="D352" s="12"/>
      <c r="E352" s="12"/>
      <c r="F352" s="12"/>
      <c r="G352" s="12"/>
    </row>
    <row r="353" spans="1:7" ht="15.75" customHeight="1" thickBot="1">
      <c r="A353" s="10"/>
      <c r="B353" s="10"/>
      <c r="C353" s="12"/>
      <c r="D353" s="12"/>
      <c r="E353" s="12"/>
      <c r="F353" s="12"/>
      <c r="G353" s="12"/>
    </row>
    <row r="354" spans="1:7" ht="15.75" customHeight="1" thickBot="1">
      <c r="A354" s="10"/>
      <c r="B354" s="10"/>
      <c r="C354" s="12"/>
      <c r="D354" s="12"/>
      <c r="E354" s="12"/>
      <c r="F354" s="12"/>
      <c r="G354" s="12"/>
    </row>
    <row r="355" spans="1:7" ht="15.75" customHeight="1" thickBot="1">
      <c r="A355" s="10"/>
      <c r="B355" s="10"/>
      <c r="C355" s="12"/>
      <c r="D355" s="12"/>
      <c r="E355" s="12"/>
      <c r="F355" s="12"/>
      <c r="G355" s="12"/>
    </row>
    <row r="356" spans="1:7" ht="15.75" customHeight="1" thickBot="1">
      <c r="A356" s="10"/>
      <c r="B356" s="10"/>
      <c r="C356" s="12"/>
      <c r="D356" s="12"/>
      <c r="E356" s="12"/>
      <c r="F356" s="12"/>
      <c r="G356" s="12"/>
    </row>
    <row r="357" spans="1:7" ht="15.75" customHeight="1" thickBot="1">
      <c r="A357" s="10"/>
      <c r="B357" s="10"/>
      <c r="C357" s="12"/>
      <c r="D357" s="12"/>
      <c r="E357" s="12"/>
      <c r="F357" s="12"/>
      <c r="G357" s="12"/>
    </row>
    <row r="358" spans="1:7" ht="15.75" customHeight="1" thickBot="1">
      <c r="A358" s="10"/>
      <c r="B358" s="10"/>
      <c r="C358" s="12"/>
      <c r="D358" s="12"/>
      <c r="E358" s="12"/>
      <c r="F358" s="12"/>
      <c r="G358" s="12"/>
    </row>
    <row r="359" spans="1:7" ht="15.75" customHeight="1" thickBot="1">
      <c r="A359" s="10"/>
      <c r="B359" s="10"/>
      <c r="C359" s="12"/>
      <c r="D359" s="12"/>
      <c r="E359" s="12"/>
      <c r="F359" s="12"/>
      <c r="G359" s="12"/>
    </row>
    <row r="360" spans="1:7" ht="15.75" customHeight="1" thickBot="1">
      <c r="A360" s="10"/>
      <c r="B360" s="10"/>
      <c r="C360" s="12"/>
      <c r="D360" s="12"/>
      <c r="E360" s="12"/>
      <c r="F360" s="12"/>
      <c r="G360" s="12"/>
    </row>
    <row r="361" spans="1:7" ht="15.75" customHeight="1" thickBot="1">
      <c r="A361" s="10"/>
      <c r="B361" s="10"/>
      <c r="C361" s="12"/>
      <c r="D361" s="12"/>
      <c r="E361" s="12"/>
      <c r="F361" s="12"/>
      <c r="G361" s="12"/>
    </row>
    <row r="362" spans="1:7" ht="15.75" customHeight="1" thickBot="1">
      <c r="A362" s="10"/>
      <c r="B362" s="10"/>
      <c r="C362" s="12"/>
      <c r="D362" s="12"/>
      <c r="E362" s="12"/>
      <c r="F362" s="12"/>
      <c r="G362" s="12"/>
    </row>
    <row r="363" spans="1:7" ht="15.75" customHeight="1" thickBot="1">
      <c r="A363" s="10"/>
      <c r="B363" s="10"/>
      <c r="C363" s="12"/>
      <c r="D363" s="12"/>
      <c r="E363" s="12"/>
      <c r="F363" s="12"/>
      <c r="G363" s="12"/>
    </row>
    <row r="364" spans="1:7" ht="15.75" customHeight="1" thickBot="1">
      <c r="A364" s="10"/>
      <c r="B364" s="10"/>
      <c r="C364" s="12"/>
      <c r="D364" s="12"/>
      <c r="E364" s="12"/>
      <c r="F364" s="12"/>
      <c r="G364" s="12"/>
    </row>
    <row r="365" spans="1:7" ht="15.75" customHeight="1" thickBot="1">
      <c r="A365" s="10"/>
      <c r="B365" s="10"/>
      <c r="C365" s="12"/>
      <c r="D365" s="12"/>
      <c r="E365" s="12"/>
      <c r="F365" s="12"/>
      <c r="G365" s="12"/>
    </row>
    <row r="366" spans="1:7" ht="15.75" customHeight="1" thickBot="1">
      <c r="A366" s="10"/>
      <c r="B366" s="10"/>
      <c r="C366" s="12"/>
      <c r="D366" s="12"/>
      <c r="E366" s="12"/>
      <c r="F366" s="12"/>
      <c r="G366" s="12"/>
    </row>
    <row r="367" spans="1:7" ht="15.75" customHeight="1" thickBot="1">
      <c r="A367" s="10"/>
      <c r="B367" s="10"/>
      <c r="C367" s="12"/>
      <c r="D367" s="12"/>
      <c r="E367" s="12"/>
      <c r="F367" s="12"/>
      <c r="G367" s="12"/>
    </row>
    <row r="368" spans="1:7" ht="15.75" customHeight="1" thickBot="1">
      <c r="A368" s="10"/>
      <c r="B368" s="10"/>
      <c r="C368" s="12"/>
      <c r="D368" s="12"/>
      <c r="E368" s="12"/>
      <c r="F368" s="12"/>
      <c r="G368" s="12"/>
    </row>
    <row r="369" spans="1:7" ht="15.75" customHeight="1" thickBot="1">
      <c r="A369" s="10"/>
      <c r="B369" s="10"/>
      <c r="C369" s="12"/>
      <c r="D369" s="12"/>
      <c r="E369" s="12"/>
      <c r="F369" s="12"/>
      <c r="G369" s="12"/>
    </row>
    <row r="370" spans="1:7" ht="15.75" customHeight="1" thickBot="1">
      <c r="A370" s="10"/>
      <c r="B370" s="10"/>
      <c r="C370" s="12"/>
      <c r="D370" s="12"/>
      <c r="E370" s="12"/>
      <c r="F370" s="12"/>
      <c r="G370" s="12"/>
    </row>
    <row r="371" spans="1:7" ht="15.75" customHeight="1" thickBot="1">
      <c r="A371" s="10"/>
      <c r="B371" s="10"/>
      <c r="C371" s="12"/>
      <c r="D371" s="12"/>
      <c r="E371" s="12"/>
      <c r="F371" s="12"/>
      <c r="G371" s="12"/>
    </row>
    <row r="372" spans="1:7" ht="15.75" customHeight="1" thickBot="1">
      <c r="A372" s="10"/>
      <c r="B372" s="10"/>
      <c r="C372" s="12"/>
      <c r="D372" s="12"/>
      <c r="E372" s="12"/>
      <c r="F372" s="12"/>
      <c r="G372" s="12"/>
    </row>
    <row r="373" spans="1:7" ht="15.75" customHeight="1" thickBot="1">
      <c r="A373" s="10"/>
      <c r="B373" s="10"/>
      <c r="C373" s="12"/>
      <c r="D373" s="12"/>
      <c r="E373" s="12"/>
      <c r="F373" s="12"/>
      <c r="G373" s="12"/>
    </row>
    <row r="374" spans="1:7" ht="15.75" customHeight="1" thickBot="1">
      <c r="A374" s="10"/>
      <c r="B374" s="10"/>
      <c r="C374" s="12"/>
      <c r="D374" s="12"/>
      <c r="E374" s="12"/>
      <c r="F374" s="12"/>
      <c r="G374" s="12"/>
    </row>
    <row r="375" spans="1:7" ht="15.75" customHeight="1" thickBot="1">
      <c r="A375" s="10"/>
      <c r="B375" s="10"/>
      <c r="C375" s="12"/>
      <c r="D375" s="12"/>
      <c r="E375" s="12"/>
      <c r="F375" s="12"/>
      <c r="G375" s="12"/>
    </row>
    <row r="376" spans="1:7" ht="15.75" customHeight="1" thickBot="1">
      <c r="A376" s="10"/>
      <c r="B376" s="10"/>
      <c r="C376" s="12"/>
      <c r="D376" s="12"/>
      <c r="E376" s="12"/>
      <c r="F376" s="12"/>
      <c r="G376" s="12"/>
    </row>
    <row r="377" spans="1:7" ht="15.75" customHeight="1" thickBot="1">
      <c r="A377" s="10"/>
      <c r="B377" s="10"/>
      <c r="C377" s="12"/>
      <c r="D377" s="12"/>
      <c r="E377" s="12"/>
      <c r="F377" s="12"/>
      <c r="G377" s="12"/>
    </row>
    <row r="378" spans="1:7" ht="15.75" customHeight="1" thickBot="1">
      <c r="A378" s="10"/>
      <c r="B378" s="10"/>
      <c r="C378" s="12"/>
      <c r="D378" s="12"/>
      <c r="E378" s="12"/>
      <c r="F378" s="12"/>
      <c r="G378" s="12"/>
    </row>
    <row r="379" spans="1:7" ht="15.75" customHeight="1" thickBot="1">
      <c r="A379" s="10"/>
      <c r="B379" s="10"/>
      <c r="C379" s="12"/>
      <c r="D379" s="12"/>
      <c r="E379" s="12"/>
      <c r="F379" s="12"/>
      <c r="G379" s="12"/>
    </row>
    <row r="380" spans="1:7" ht="15.75" customHeight="1" thickBot="1">
      <c r="A380" s="10"/>
      <c r="B380" s="10"/>
      <c r="C380" s="12"/>
      <c r="D380" s="12"/>
      <c r="E380" s="12"/>
      <c r="F380" s="12"/>
      <c r="G380" s="12"/>
    </row>
    <row r="381" spans="1:7" ht="15.75" customHeight="1" thickBot="1">
      <c r="A381" s="10"/>
      <c r="B381" s="10"/>
      <c r="C381" s="12"/>
      <c r="D381" s="12"/>
      <c r="E381" s="12"/>
      <c r="F381" s="12"/>
      <c r="G381" s="12"/>
    </row>
    <row r="382" spans="1:7" ht="15.75" customHeight="1" thickBot="1">
      <c r="A382" s="10"/>
      <c r="B382" s="10"/>
      <c r="C382" s="12"/>
      <c r="D382" s="12"/>
      <c r="E382" s="12"/>
      <c r="F382" s="12"/>
      <c r="G382" s="12"/>
    </row>
    <row r="383" spans="1:7" ht="15.75" customHeight="1" thickBot="1">
      <c r="A383" s="10"/>
      <c r="B383" s="10"/>
      <c r="C383" s="12"/>
      <c r="D383" s="12"/>
      <c r="E383" s="12"/>
      <c r="F383" s="12"/>
      <c r="G383" s="12"/>
    </row>
    <row r="384" spans="1:7" ht="15.75" customHeight="1" thickBot="1">
      <c r="A384" s="10"/>
      <c r="B384" s="10"/>
      <c r="C384" s="12"/>
      <c r="D384" s="12"/>
      <c r="E384" s="12"/>
      <c r="F384" s="12"/>
      <c r="G384" s="12"/>
    </row>
    <row r="385" spans="1:7" ht="15.75" customHeight="1" thickBot="1">
      <c r="A385" s="10"/>
      <c r="B385" s="10"/>
      <c r="C385" s="12"/>
      <c r="D385" s="12"/>
      <c r="E385" s="12"/>
      <c r="F385" s="12"/>
      <c r="G385" s="12"/>
    </row>
    <row r="386" spans="1:7" ht="15.75" customHeight="1" thickBot="1">
      <c r="A386" s="10"/>
      <c r="B386" s="10"/>
      <c r="C386" s="12"/>
      <c r="D386" s="12"/>
      <c r="E386" s="12"/>
      <c r="F386" s="12"/>
      <c r="G386" s="12"/>
    </row>
    <row r="387" spans="1:7" ht="15.75" customHeight="1" thickBot="1">
      <c r="A387" s="10"/>
      <c r="B387" s="10"/>
      <c r="C387" s="12"/>
      <c r="D387" s="12"/>
      <c r="E387" s="12"/>
      <c r="F387" s="12"/>
      <c r="G387" s="12"/>
    </row>
    <row r="388" spans="1:7" ht="15.75" customHeight="1" thickBot="1">
      <c r="A388" s="10"/>
      <c r="B388" s="10"/>
      <c r="C388" s="12"/>
      <c r="D388" s="12"/>
      <c r="E388" s="12"/>
      <c r="F388" s="12"/>
      <c r="G388" s="12"/>
    </row>
    <row r="389" spans="1:7" ht="15.75" customHeight="1" thickBot="1">
      <c r="A389" s="10"/>
      <c r="B389" s="10"/>
      <c r="C389" s="12"/>
      <c r="D389" s="12"/>
      <c r="E389" s="12"/>
      <c r="F389" s="12"/>
      <c r="G389" s="12"/>
    </row>
    <row r="390" spans="1:7" ht="15.75" customHeight="1" thickBot="1">
      <c r="A390" s="10"/>
      <c r="B390" s="10"/>
      <c r="C390" s="12"/>
      <c r="D390" s="12"/>
      <c r="E390" s="12"/>
      <c r="F390" s="12"/>
      <c r="G390" s="12"/>
    </row>
    <row r="391" spans="1:7" ht="15.75" customHeight="1" thickBot="1">
      <c r="A391" s="10"/>
      <c r="B391" s="10"/>
      <c r="C391" s="12"/>
      <c r="D391" s="12"/>
      <c r="E391" s="12"/>
      <c r="F391" s="12"/>
      <c r="G391" s="12"/>
    </row>
    <row r="392" spans="1:7" ht="15.75" customHeight="1" thickBot="1">
      <c r="A392" s="10"/>
      <c r="B392" s="10"/>
      <c r="C392" s="12"/>
      <c r="D392" s="12"/>
      <c r="E392" s="12"/>
      <c r="F392" s="12"/>
      <c r="G392" s="12"/>
    </row>
    <row r="393" spans="1:7" ht="15.75" customHeight="1" thickBot="1">
      <c r="A393" s="10"/>
      <c r="B393" s="10"/>
      <c r="C393" s="12"/>
      <c r="D393" s="12"/>
      <c r="E393" s="12"/>
      <c r="F393" s="12"/>
      <c r="G393" s="12"/>
    </row>
    <row r="394" spans="1:7" ht="15.75" customHeight="1" thickBot="1">
      <c r="A394" s="10"/>
      <c r="B394" s="10"/>
      <c r="C394" s="12"/>
      <c r="D394" s="12"/>
      <c r="E394" s="12"/>
      <c r="F394" s="12"/>
      <c r="G394" s="12"/>
    </row>
    <row r="395" spans="1:7" ht="15.75" customHeight="1" thickBot="1">
      <c r="A395" s="10"/>
      <c r="B395" s="10"/>
      <c r="C395" s="12"/>
      <c r="D395" s="12"/>
      <c r="E395" s="12"/>
      <c r="F395" s="12"/>
      <c r="G395" s="12"/>
    </row>
    <row r="396" spans="1:7" ht="15.75" customHeight="1" thickBot="1">
      <c r="A396" s="10"/>
      <c r="B396" s="10"/>
      <c r="C396" s="12"/>
      <c r="D396" s="12"/>
      <c r="E396" s="12"/>
      <c r="F396" s="12"/>
      <c r="G396" s="12"/>
    </row>
    <row r="397" spans="1:7" ht="15.75" customHeight="1" thickBot="1">
      <c r="A397" s="10"/>
      <c r="B397" s="10"/>
      <c r="C397" s="12"/>
      <c r="D397" s="12"/>
      <c r="E397" s="12"/>
      <c r="F397" s="12"/>
      <c r="G397" s="12"/>
    </row>
    <row r="398" spans="1:7" ht="15.75" customHeight="1" thickBot="1">
      <c r="A398" s="10"/>
      <c r="B398" s="10"/>
      <c r="C398" s="12"/>
      <c r="D398" s="12"/>
      <c r="E398" s="12"/>
      <c r="F398" s="12"/>
      <c r="G398" s="12"/>
    </row>
    <row r="399" spans="1:7" ht="15.75" customHeight="1" thickBot="1">
      <c r="A399" s="10"/>
      <c r="B399" s="10"/>
      <c r="C399" s="12"/>
      <c r="D399" s="12"/>
      <c r="E399" s="12"/>
      <c r="F399" s="12"/>
      <c r="G399" s="12"/>
    </row>
    <row r="400" spans="1:7" ht="15.75" customHeight="1" thickBot="1">
      <c r="A400" s="10"/>
      <c r="B400" s="10"/>
      <c r="C400" s="12"/>
      <c r="D400" s="12"/>
      <c r="E400" s="12"/>
      <c r="F400" s="12"/>
      <c r="G400" s="12"/>
    </row>
    <row r="401" spans="1:7" ht="15.75" customHeight="1" thickBot="1">
      <c r="A401" s="10"/>
      <c r="B401" s="10"/>
      <c r="C401" s="12"/>
      <c r="D401" s="12"/>
      <c r="E401" s="12"/>
      <c r="F401" s="12"/>
      <c r="G401" s="12"/>
    </row>
    <row r="402" spans="1:7" ht="15.75" customHeight="1" thickBot="1">
      <c r="A402" s="10"/>
      <c r="B402" s="10"/>
      <c r="C402" s="12"/>
      <c r="D402" s="12"/>
      <c r="E402" s="12"/>
      <c r="F402" s="12"/>
      <c r="G402" s="12"/>
    </row>
    <row r="403" spans="1:7" ht="15.75" customHeight="1" thickBot="1">
      <c r="A403" s="10"/>
      <c r="B403" s="10"/>
      <c r="C403" s="12"/>
      <c r="D403" s="12"/>
      <c r="E403" s="12"/>
      <c r="F403" s="12"/>
      <c r="G403" s="12"/>
    </row>
    <row r="404" spans="1:7" ht="15.75" customHeight="1" thickBot="1">
      <c r="A404" s="10"/>
      <c r="B404" s="10"/>
      <c r="C404" s="12"/>
      <c r="D404" s="12"/>
      <c r="E404" s="12"/>
      <c r="F404" s="12"/>
      <c r="G404" s="12"/>
    </row>
    <row r="405" spans="1:7" ht="15.75" customHeight="1" thickBot="1">
      <c r="A405" s="10"/>
      <c r="B405" s="10"/>
      <c r="C405" s="12"/>
      <c r="D405" s="12"/>
      <c r="E405" s="12"/>
      <c r="F405" s="12"/>
      <c r="G405" s="12"/>
    </row>
    <row r="406" spans="1:7" ht="15.75" customHeight="1" thickBot="1">
      <c r="A406" s="10"/>
      <c r="B406" s="10"/>
      <c r="C406" s="12"/>
      <c r="D406" s="12"/>
      <c r="E406" s="12"/>
      <c r="F406" s="12"/>
      <c r="G406" s="12"/>
    </row>
    <row r="407" spans="1:7" ht="15.75" customHeight="1" thickBot="1">
      <c r="A407" s="10"/>
      <c r="B407" s="10"/>
      <c r="C407" s="12"/>
      <c r="D407" s="12"/>
      <c r="E407" s="12"/>
      <c r="F407" s="12"/>
      <c r="G407" s="12"/>
    </row>
    <row r="408" spans="1:7" ht="15.75" customHeight="1" thickBot="1">
      <c r="A408" s="10"/>
      <c r="B408" s="10"/>
      <c r="C408" s="12"/>
      <c r="D408" s="12"/>
      <c r="E408" s="12"/>
      <c r="F408" s="12"/>
      <c r="G408" s="12"/>
    </row>
    <row r="409" spans="1:7" ht="15.75" customHeight="1" thickBot="1">
      <c r="A409" s="10"/>
      <c r="B409" s="10"/>
      <c r="C409" s="12"/>
      <c r="D409" s="12"/>
      <c r="E409" s="12"/>
      <c r="F409" s="12"/>
      <c r="G409" s="12"/>
    </row>
    <row r="410" spans="1:7" ht="15.75" customHeight="1" thickBot="1">
      <c r="A410" s="10"/>
      <c r="B410" s="10"/>
      <c r="C410" s="12"/>
      <c r="D410" s="12"/>
      <c r="E410" s="12"/>
      <c r="F410" s="12"/>
      <c r="G410" s="12"/>
    </row>
    <row r="411" spans="1:7" ht="15.75" customHeight="1" thickBot="1">
      <c r="A411" s="10"/>
      <c r="B411" s="10"/>
      <c r="C411" s="12"/>
      <c r="D411" s="12"/>
      <c r="E411" s="12"/>
      <c r="F411" s="12"/>
      <c r="G411" s="12"/>
    </row>
    <row r="412" spans="1:7" ht="15.75" customHeight="1" thickBot="1">
      <c r="A412" s="10"/>
      <c r="B412" s="10"/>
      <c r="C412" s="12"/>
      <c r="D412" s="12"/>
      <c r="E412" s="12"/>
      <c r="F412" s="12"/>
      <c r="G412" s="12"/>
    </row>
    <row r="413" spans="1:7" ht="15.75" customHeight="1" thickBot="1">
      <c r="A413" s="10"/>
      <c r="B413" s="10"/>
      <c r="C413" s="12"/>
      <c r="D413" s="12"/>
      <c r="E413" s="12"/>
      <c r="F413" s="12"/>
      <c r="G413" s="12"/>
    </row>
    <row r="414" spans="1:7" ht="15.75" customHeight="1" thickBot="1">
      <c r="A414" s="10"/>
      <c r="B414" s="10"/>
      <c r="C414" s="12"/>
      <c r="D414" s="12"/>
      <c r="E414" s="12"/>
      <c r="F414" s="12"/>
      <c r="G414" s="12"/>
    </row>
    <row r="415" spans="1:7" ht="15.75" customHeight="1" thickBot="1">
      <c r="A415" s="10"/>
      <c r="B415" s="10"/>
      <c r="C415" s="12"/>
      <c r="D415" s="12"/>
      <c r="E415" s="12"/>
      <c r="F415" s="12"/>
      <c r="G415" s="12"/>
    </row>
    <row r="416" spans="1:7" ht="15.75" customHeight="1" thickBot="1">
      <c r="A416" s="10"/>
      <c r="B416" s="10"/>
      <c r="C416" s="12"/>
      <c r="D416" s="12"/>
      <c r="E416" s="12"/>
      <c r="F416" s="12"/>
      <c r="G416" s="12"/>
    </row>
    <row r="417" spans="1:7" ht="15.75" customHeight="1" thickBot="1">
      <c r="A417" s="10"/>
      <c r="B417" s="10"/>
      <c r="C417" s="12"/>
      <c r="D417" s="12"/>
      <c r="E417" s="12"/>
      <c r="F417" s="12"/>
      <c r="G417" s="12"/>
    </row>
    <row r="418" spans="1:7" ht="15.75" customHeight="1" thickBot="1">
      <c r="A418" s="10"/>
      <c r="B418" s="10"/>
      <c r="C418" s="12"/>
      <c r="D418" s="12"/>
      <c r="E418" s="12"/>
      <c r="F418" s="12"/>
      <c r="G418" s="12"/>
    </row>
    <row r="419" spans="1:7" ht="15.75" customHeight="1" thickBot="1">
      <c r="A419" s="10"/>
      <c r="B419" s="10"/>
      <c r="C419" s="12"/>
      <c r="D419" s="12"/>
      <c r="E419" s="12"/>
      <c r="F419" s="12"/>
      <c r="G419" s="12"/>
    </row>
    <row r="420" spans="1:7" ht="15.75" customHeight="1" thickBot="1">
      <c r="A420" s="10"/>
      <c r="B420" s="10"/>
      <c r="C420" s="12"/>
      <c r="D420" s="12"/>
      <c r="E420" s="12"/>
      <c r="F420" s="12"/>
      <c r="G420" s="12"/>
    </row>
    <row r="421" spans="1:7" ht="15.75" customHeight="1" thickBot="1">
      <c r="A421" s="10"/>
      <c r="B421" s="10"/>
      <c r="C421" s="12"/>
      <c r="D421" s="12"/>
      <c r="E421" s="12"/>
      <c r="F421" s="12"/>
      <c r="G421" s="12"/>
    </row>
    <row r="422" spans="1:7" ht="15.75" customHeight="1" thickBot="1">
      <c r="A422" s="10"/>
      <c r="B422" s="10"/>
      <c r="C422" s="12"/>
      <c r="D422" s="12"/>
      <c r="E422" s="12"/>
      <c r="F422" s="12"/>
      <c r="G422" s="12"/>
    </row>
    <row r="423" spans="1:7" ht="15.75" customHeight="1" thickBot="1">
      <c r="A423" s="10"/>
      <c r="B423" s="10"/>
      <c r="C423" s="12"/>
      <c r="D423" s="12"/>
      <c r="E423" s="12"/>
      <c r="F423" s="12"/>
      <c r="G423" s="12"/>
    </row>
    <row r="424" spans="1:7" ht="15.75" customHeight="1" thickBot="1">
      <c r="A424" s="10"/>
      <c r="B424" s="10"/>
      <c r="C424" s="12"/>
      <c r="D424" s="12"/>
      <c r="E424" s="12"/>
      <c r="F424" s="12"/>
      <c r="G424" s="12"/>
    </row>
    <row r="425" spans="1:7" ht="15.75" customHeight="1" thickBot="1">
      <c r="A425" s="10"/>
      <c r="B425" s="10"/>
      <c r="C425" s="12"/>
      <c r="D425" s="12"/>
      <c r="E425" s="12"/>
      <c r="F425" s="12"/>
      <c r="G425" s="12"/>
    </row>
    <row r="426" spans="1:7" ht="15.75" customHeight="1" thickBot="1">
      <c r="A426" s="10"/>
      <c r="B426" s="10"/>
      <c r="C426" s="12"/>
      <c r="D426" s="12"/>
      <c r="E426" s="12"/>
      <c r="F426" s="12"/>
      <c r="G426" s="12"/>
    </row>
    <row r="427" spans="1:7" ht="15.75" customHeight="1" thickBot="1">
      <c r="A427" s="10"/>
      <c r="B427" s="10"/>
      <c r="C427" s="12"/>
      <c r="D427" s="12"/>
      <c r="E427" s="12"/>
      <c r="F427" s="12"/>
      <c r="G427" s="12"/>
    </row>
    <row r="428" spans="1:7" ht="15.75" customHeight="1" thickBot="1">
      <c r="A428" s="10"/>
      <c r="B428" s="10"/>
      <c r="C428" s="12"/>
      <c r="D428" s="12"/>
      <c r="E428" s="12"/>
      <c r="F428" s="12"/>
      <c r="G428" s="12"/>
    </row>
    <row r="429" spans="1:7" ht="15.75" customHeight="1" thickBot="1">
      <c r="A429" s="10"/>
      <c r="B429" s="10"/>
      <c r="C429" s="12"/>
      <c r="D429" s="12"/>
      <c r="E429" s="12"/>
      <c r="F429" s="12"/>
      <c r="G429" s="12"/>
    </row>
    <row r="430" spans="1:7" ht="15.75" customHeight="1" thickBot="1">
      <c r="A430" s="10"/>
      <c r="B430" s="10"/>
      <c r="C430" s="12"/>
      <c r="D430" s="12"/>
      <c r="E430" s="12"/>
      <c r="F430" s="12"/>
      <c r="G430" s="12"/>
    </row>
    <row r="431" spans="1:7" ht="15.75" customHeight="1" thickBot="1">
      <c r="A431" s="10"/>
      <c r="B431" s="10"/>
      <c r="C431" s="12"/>
      <c r="D431" s="12"/>
      <c r="E431" s="12"/>
      <c r="F431" s="12"/>
      <c r="G431" s="12"/>
    </row>
    <row r="432" spans="1:7" ht="15.75" customHeight="1" thickBot="1">
      <c r="A432" s="10"/>
      <c r="B432" s="10"/>
      <c r="C432" s="12"/>
      <c r="D432" s="12"/>
      <c r="E432" s="12"/>
      <c r="F432" s="12"/>
      <c r="G432" s="12"/>
    </row>
    <row r="433" spans="1:7" ht="15.75" customHeight="1" thickBot="1">
      <c r="A433" s="10"/>
      <c r="B433" s="10"/>
      <c r="C433" s="12"/>
      <c r="D433" s="12"/>
      <c r="E433" s="12"/>
      <c r="F433" s="12"/>
      <c r="G433" s="12"/>
    </row>
    <row r="434" spans="1:7" ht="15.75" customHeight="1" thickBot="1">
      <c r="A434" s="10"/>
      <c r="B434" s="10"/>
      <c r="C434" s="12"/>
      <c r="D434" s="12"/>
      <c r="E434" s="12"/>
      <c r="F434" s="12"/>
      <c r="G434" s="12"/>
    </row>
    <row r="435" spans="1:7" ht="15.75" customHeight="1" thickBot="1">
      <c r="A435" s="10"/>
      <c r="B435" s="10"/>
      <c r="C435" s="12"/>
      <c r="D435" s="12"/>
      <c r="E435" s="12"/>
      <c r="F435" s="12"/>
      <c r="G435" s="12"/>
    </row>
    <row r="436" spans="1:7" ht="15.75" customHeight="1" thickBot="1">
      <c r="A436" s="10"/>
      <c r="B436" s="10"/>
      <c r="C436" s="12"/>
      <c r="D436" s="12"/>
      <c r="E436" s="12"/>
      <c r="F436" s="12"/>
      <c r="G436" s="12"/>
    </row>
    <row r="437" spans="1:7" ht="15.75" customHeight="1" thickBot="1">
      <c r="A437" s="10"/>
      <c r="B437" s="10"/>
      <c r="C437" s="12"/>
      <c r="D437" s="12"/>
      <c r="E437" s="12"/>
      <c r="F437" s="12"/>
      <c r="G437" s="12"/>
    </row>
    <row r="438" spans="1:7" ht="15.75" customHeight="1" thickBot="1">
      <c r="A438" s="10"/>
      <c r="B438" s="10"/>
      <c r="C438" s="12"/>
      <c r="D438" s="12"/>
      <c r="E438" s="12"/>
      <c r="F438" s="12"/>
      <c r="G438" s="12"/>
    </row>
    <row r="439" spans="1:7" ht="15.75" customHeight="1" thickBot="1">
      <c r="A439" s="10"/>
      <c r="B439" s="10"/>
      <c r="C439" s="12"/>
      <c r="D439" s="12"/>
      <c r="E439" s="12"/>
      <c r="F439" s="12"/>
      <c r="G439" s="12"/>
    </row>
    <row r="440" spans="1:7" ht="15.75" customHeight="1" thickBot="1">
      <c r="A440" s="10"/>
      <c r="B440" s="10"/>
      <c r="C440" s="12"/>
      <c r="D440" s="12"/>
      <c r="E440" s="12"/>
      <c r="F440" s="12"/>
      <c r="G440" s="12"/>
    </row>
    <row r="441" spans="1:7" ht="15.75" customHeight="1" thickBot="1">
      <c r="A441" s="10"/>
      <c r="B441" s="10"/>
      <c r="C441" s="12"/>
      <c r="D441" s="12"/>
      <c r="E441" s="12"/>
      <c r="F441" s="12"/>
      <c r="G441" s="12"/>
    </row>
    <row r="442" spans="1:7" ht="15.75" customHeight="1" thickBot="1">
      <c r="A442" s="10"/>
      <c r="B442" s="10"/>
      <c r="C442" s="12"/>
      <c r="D442" s="12"/>
      <c r="E442" s="12"/>
      <c r="F442" s="12"/>
      <c r="G442" s="12"/>
    </row>
    <row r="443" spans="1:7" ht="15.75" customHeight="1" thickBot="1">
      <c r="A443" s="10"/>
      <c r="B443" s="10"/>
      <c r="C443" s="12"/>
      <c r="D443" s="12"/>
      <c r="E443" s="12"/>
      <c r="F443" s="12"/>
      <c r="G443" s="12"/>
    </row>
    <row r="444" spans="1:7" ht="15.75" customHeight="1" thickBot="1">
      <c r="A444" s="10"/>
      <c r="B444" s="10"/>
      <c r="C444" s="12"/>
      <c r="D444" s="12"/>
      <c r="E444" s="12"/>
      <c r="F444" s="12"/>
      <c r="G444" s="12"/>
    </row>
    <row r="445" spans="1:7" ht="15.75" customHeight="1" thickBot="1">
      <c r="A445" s="10"/>
      <c r="B445" s="10"/>
      <c r="C445" s="12"/>
      <c r="D445" s="12"/>
      <c r="E445" s="12"/>
      <c r="F445" s="12"/>
      <c r="G445" s="12"/>
    </row>
    <row r="446" spans="1:7" ht="15.75" customHeight="1" thickBot="1">
      <c r="A446" s="10"/>
      <c r="B446" s="10"/>
      <c r="C446" s="12"/>
      <c r="D446" s="12"/>
      <c r="E446" s="12"/>
      <c r="F446" s="12"/>
      <c r="G446" s="12"/>
    </row>
    <row r="447" spans="1:7" ht="15.75" customHeight="1" thickBot="1">
      <c r="A447" s="10"/>
      <c r="B447" s="10"/>
      <c r="C447" s="12"/>
      <c r="D447" s="12"/>
      <c r="E447" s="12"/>
      <c r="F447" s="12"/>
      <c r="G447" s="12"/>
    </row>
    <row r="448" spans="1:7" ht="15.75" customHeight="1" thickBot="1">
      <c r="A448" s="10"/>
      <c r="B448" s="10"/>
      <c r="C448" s="12"/>
      <c r="D448" s="12"/>
      <c r="E448" s="12"/>
      <c r="F448" s="12"/>
      <c r="G448" s="12"/>
    </row>
    <row r="449" spans="1:7" ht="15.75" customHeight="1" thickBot="1">
      <c r="A449" s="10"/>
      <c r="B449" s="10"/>
      <c r="C449" s="12"/>
      <c r="D449" s="12"/>
      <c r="E449" s="12"/>
      <c r="F449" s="12"/>
      <c r="G449" s="12"/>
    </row>
    <row r="450" spans="1:7" ht="15.75" customHeight="1" thickBot="1">
      <c r="A450" s="10"/>
      <c r="B450" s="10"/>
      <c r="C450" s="12"/>
      <c r="D450" s="12"/>
      <c r="E450" s="12"/>
      <c r="F450" s="12"/>
      <c r="G450" s="12"/>
    </row>
    <row r="451" spans="1:7" ht="15.75" customHeight="1" thickBot="1">
      <c r="A451" s="10"/>
      <c r="B451" s="10"/>
      <c r="C451" s="12"/>
      <c r="D451" s="12"/>
      <c r="E451" s="12"/>
      <c r="F451" s="12"/>
      <c r="G451" s="12"/>
    </row>
    <row r="452" spans="1:7" ht="15.75" customHeight="1" thickBot="1">
      <c r="A452" s="10"/>
      <c r="B452" s="10"/>
      <c r="C452" s="12"/>
      <c r="D452" s="12"/>
      <c r="E452" s="12"/>
      <c r="F452" s="12"/>
      <c r="G452" s="12"/>
    </row>
    <row r="453" spans="1:7" ht="15.75" customHeight="1" thickBot="1">
      <c r="A453" s="10"/>
      <c r="B453" s="10"/>
      <c r="C453" s="12"/>
      <c r="D453" s="12"/>
      <c r="E453" s="12"/>
      <c r="F453" s="12"/>
      <c r="G453" s="12"/>
    </row>
    <row r="454" spans="1:7" ht="15.75" customHeight="1" thickBot="1">
      <c r="A454" s="10"/>
      <c r="B454" s="10"/>
      <c r="C454" s="12"/>
      <c r="D454" s="12"/>
      <c r="E454" s="12"/>
      <c r="F454" s="12"/>
      <c r="G454" s="12"/>
    </row>
    <row r="455" spans="1:7" ht="15.75" customHeight="1" thickBot="1">
      <c r="A455" s="10"/>
      <c r="B455" s="10"/>
      <c r="C455" s="12"/>
      <c r="D455" s="12"/>
      <c r="E455" s="12"/>
      <c r="F455" s="12"/>
      <c r="G455" s="12"/>
    </row>
    <row r="456" spans="1:7" ht="15.75" customHeight="1" thickBot="1">
      <c r="A456" s="10"/>
      <c r="B456" s="10"/>
      <c r="C456" s="12"/>
      <c r="D456" s="12"/>
      <c r="E456" s="12"/>
      <c r="F456" s="12"/>
      <c r="G456" s="12"/>
    </row>
    <row r="457" spans="1:7" ht="15.75" customHeight="1" thickBot="1">
      <c r="A457" s="10"/>
      <c r="B457" s="10"/>
      <c r="C457" s="12"/>
      <c r="D457" s="12"/>
      <c r="E457" s="12"/>
      <c r="F457" s="12"/>
      <c r="G457" s="12"/>
    </row>
    <row r="458" spans="1:7" ht="15.75" customHeight="1" thickBot="1">
      <c r="A458" s="10"/>
      <c r="B458" s="10"/>
      <c r="C458" s="12"/>
      <c r="D458" s="12"/>
      <c r="E458" s="12"/>
      <c r="F458" s="12"/>
      <c r="G458" s="12"/>
    </row>
    <row r="459" spans="1:7" ht="15.75" customHeight="1" thickBot="1">
      <c r="A459" s="10"/>
      <c r="B459" s="10"/>
      <c r="C459" s="12"/>
      <c r="D459" s="12"/>
      <c r="E459" s="12"/>
      <c r="F459" s="12"/>
      <c r="G459" s="12"/>
    </row>
    <row r="460" spans="1:7" ht="15.75" customHeight="1" thickBot="1">
      <c r="A460" s="10"/>
      <c r="B460" s="10"/>
      <c r="C460" s="12"/>
      <c r="D460" s="12"/>
      <c r="E460" s="12"/>
      <c r="F460" s="12"/>
      <c r="G460" s="12"/>
    </row>
    <row r="461" spans="1:7" ht="15.75" customHeight="1" thickBot="1">
      <c r="A461" s="10"/>
      <c r="B461" s="10"/>
      <c r="C461" s="12"/>
      <c r="D461" s="12"/>
      <c r="E461" s="12"/>
      <c r="F461" s="12"/>
      <c r="G461" s="12"/>
    </row>
    <row r="462" spans="1:7" ht="15.75" customHeight="1" thickBot="1">
      <c r="A462" s="10"/>
      <c r="B462" s="10"/>
      <c r="C462" s="12"/>
      <c r="D462" s="12"/>
      <c r="E462" s="12"/>
      <c r="F462" s="12"/>
      <c r="G462" s="12"/>
    </row>
    <row r="463" spans="1:7" ht="15.75" customHeight="1" thickBot="1">
      <c r="A463" s="10"/>
      <c r="B463" s="10"/>
      <c r="C463" s="12"/>
      <c r="D463" s="12"/>
      <c r="E463" s="12"/>
      <c r="F463" s="12"/>
      <c r="G463" s="12"/>
    </row>
    <row r="464" spans="1:7" ht="15.75" customHeight="1" thickBot="1">
      <c r="A464" s="10"/>
      <c r="B464" s="10"/>
      <c r="C464" s="12"/>
      <c r="D464" s="12"/>
      <c r="E464" s="12"/>
      <c r="F464" s="12"/>
      <c r="G464" s="12"/>
    </row>
    <row r="465" spans="1:7" ht="15.75" customHeight="1" thickBot="1">
      <c r="A465" s="10"/>
      <c r="B465" s="10"/>
      <c r="C465" s="12"/>
      <c r="D465" s="12"/>
      <c r="E465" s="12"/>
      <c r="F465" s="12"/>
      <c r="G465" s="12"/>
    </row>
    <row r="466" spans="1:7" ht="15.75" customHeight="1" thickBot="1">
      <c r="A466" s="10"/>
      <c r="B466" s="10"/>
      <c r="C466" s="12"/>
      <c r="D466" s="12"/>
      <c r="E466" s="12"/>
      <c r="F466" s="12"/>
      <c r="G466" s="12"/>
    </row>
    <row r="467" spans="1:7" ht="15.75" customHeight="1" thickBot="1">
      <c r="A467" s="10"/>
      <c r="B467" s="10"/>
      <c r="C467" s="12"/>
      <c r="D467" s="12"/>
      <c r="E467" s="12"/>
      <c r="F467" s="12"/>
      <c r="G467" s="12"/>
    </row>
    <row r="468" spans="1:7" ht="15.75" customHeight="1" thickBot="1">
      <c r="A468" s="10"/>
      <c r="B468" s="10"/>
      <c r="C468" s="12"/>
      <c r="D468" s="12"/>
      <c r="E468" s="12"/>
      <c r="F468" s="12"/>
      <c r="G468" s="12"/>
    </row>
    <row r="469" spans="1:7" ht="15.75" customHeight="1" thickBot="1">
      <c r="A469" s="10"/>
      <c r="B469" s="10"/>
      <c r="C469" s="12"/>
      <c r="D469" s="12"/>
      <c r="E469" s="12"/>
      <c r="F469" s="12"/>
      <c r="G469" s="12"/>
    </row>
    <row r="470" spans="1:7" ht="15.75" customHeight="1" thickBot="1">
      <c r="A470" s="10"/>
      <c r="B470" s="10"/>
      <c r="C470" s="12"/>
      <c r="D470" s="12"/>
      <c r="E470" s="12"/>
      <c r="F470" s="12"/>
      <c r="G470" s="12"/>
    </row>
    <row r="471" spans="1:7" ht="15.75" customHeight="1" thickBot="1">
      <c r="A471" s="10"/>
      <c r="B471" s="10"/>
      <c r="C471" s="12"/>
      <c r="D471" s="12"/>
      <c r="E471" s="12"/>
      <c r="F471" s="12"/>
      <c r="G471" s="12"/>
    </row>
    <row r="472" spans="1:7" ht="15.75" customHeight="1" thickBot="1">
      <c r="A472" s="10"/>
      <c r="B472" s="10"/>
      <c r="C472" s="12"/>
      <c r="D472" s="12"/>
      <c r="E472" s="12"/>
      <c r="F472" s="12"/>
      <c r="G472" s="12"/>
    </row>
    <row r="473" spans="1:7" ht="15.75" customHeight="1" thickBot="1">
      <c r="A473" s="10"/>
      <c r="B473" s="10"/>
      <c r="C473" s="12"/>
      <c r="D473" s="12"/>
      <c r="E473" s="12"/>
      <c r="F473" s="12"/>
      <c r="G473" s="12"/>
    </row>
    <row r="474" spans="1:7" ht="15.75" customHeight="1" thickBot="1">
      <c r="A474" s="10"/>
      <c r="B474" s="10"/>
      <c r="C474" s="12"/>
      <c r="D474" s="12"/>
      <c r="E474" s="12"/>
      <c r="F474" s="12"/>
      <c r="G474" s="12"/>
    </row>
    <row r="475" spans="1:7" ht="15.75" customHeight="1" thickBot="1">
      <c r="A475" s="10"/>
      <c r="B475" s="10"/>
      <c r="C475" s="12"/>
      <c r="D475" s="12"/>
      <c r="E475" s="12"/>
      <c r="F475" s="12"/>
      <c r="G475" s="12"/>
    </row>
    <row r="476" spans="1:7" ht="15.75" customHeight="1" thickBot="1">
      <c r="A476" s="10"/>
      <c r="B476" s="10"/>
      <c r="C476" s="12"/>
      <c r="D476" s="12"/>
      <c r="E476" s="12"/>
      <c r="F476" s="12"/>
      <c r="G476" s="12"/>
    </row>
    <row r="477" spans="1:7" ht="15.75" customHeight="1" thickBot="1">
      <c r="A477" s="10"/>
      <c r="B477" s="10"/>
      <c r="C477" s="12"/>
      <c r="D477" s="12"/>
      <c r="E477" s="12"/>
      <c r="F477" s="12"/>
      <c r="G477" s="12"/>
    </row>
    <row r="478" spans="1:7" ht="15.75" customHeight="1" thickBot="1">
      <c r="A478" s="10"/>
      <c r="B478" s="10"/>
      <c r="C478" s="12"/>
      <c r="D478" s="12"/>
      <c r="E478" s="12"/>
      <c r="F478" s="12"/>
      <c r="G478" s="12"/>
    </row>
    <row r="479" spans="1:7" ht="15.75" customHeight="1" thickBot="1">
      <c r="A479" s="10"/>
      <c r="B479" s="10"/>
      <c r="C479" s="12"/>
      <c r="D479" s="12"/>
      <c r="E479" s="12"/>
      <c r="F479" s="12"/>
      <c r="G479" s="12"/>
    </row>
    <row r="480" spans="1:7" ht="15.75" customHeight="1" thickBot="1">
      <c r="A480" s="10"/>
      <c r="B480" s="10"/>
      <c r="C480" s="12"/>
      <c r="D480" s="12"/>
      <c r="E480" s="12"/>
      <c r="F480" s="12"/>
      <c r="G480" s="12"/>
    </row>
    <row r="481" spans="1:7" ht="15.75" customHeight="1" thickBot="1">
      <c r="A481" s="10"/>
      <c r="B481" s="10"/>
      <c r="C481" s="12"/>
      <c r="D481" s="12"/>
      <c r="E481" s="12"/>
      <c r="F481" s="12"/>
      <c r="G481" s="12"/>
    </row>
    <row r="482" spans="1:7" ht="15.75" customHeight="1" thickBot="1">
      <c r="A482" s="10"/>
      <c r="B482" s="10"/>
      <c r="C482" s="12"/>
      <c r="D482" s="12"/>
      <c r="E482" s="12"/>
      <c r="F482" s="12"/>
      <c r="G482" s="12"/>
    </row>
    <row r="483" spans="1:7" ht="15.75" customHeight="1" thickBot="1">
      <c r="A483" s="10"/>
      <c r="B483" s="10"/>
      <c r="C483" s="12"/>
      <c r="D483" s="12"/>
      <c r="E483" s="12"/>
      <c r="F483" s="12"/>
      <c r="G483" s="12"/>
    </row>
    <row r="484" spans="1:7" ht="15.75" customHeight="1" thickBot="1">
      <c r="A484" s="10"/>
      <c r="B484" s="10"/>
      <c r="C484" s="12"/>
      <c r="D484" s="12"/>
      <c r="E484" s="12"/>
      <c r="F484" s="12"/>
      <c r="G484" s="12"/>
    </row>
    <row r="485" spans="1:7" ht="15.75" customHeight="1" thickBot="1">
      <c r="A485" s="10"/>
      <c r="B485" s="10"/>
      <c r="C485" s="12"/>
      <c r="D485" s="12"/>
      <c r="E485" s="12"/>
      <c r="F485" s="12"/>
      <c r="G485" s="12"/>
    </row>
    <row r="486" spans="1:7" ht="15.75" customHeight="1" thickBot="1">
      <c r="A486" s="10"/>
      <c r="B486" s="10"/>
      <c r="C486" s="12"/>
      <c r="D486" s="12"/>
      <c r="E486" s="12"/>
      <c r="F486" s="12"/>
      <c r="G486" s="12"/>
    </row>
    <row r="487" spans="1:7" ht="15.75" customHeight="1" thickBot="1">
      <c r="A487" s="10"/>
      <c r="B487" s="10"/>
      <c r="C487" s="12"/>
      <c r="D487" s="12"/>
      <c r="E487" s="12"/>
      <c r="F487" s="12"/>
      <c r="G487" s="12"/>
    </row>
    <row r="488" spans="1:7" ht="15.75" customHeight="1" thickBot="1">
      <c r="A488" s="10"/>
      <c r="B488" s="10"/>
      <c r="C488" s="12"/>
      <c r="D488" s="12"/>
      <c r="E488" s="12"/>
      <c r="F488" s="12"/>
      <c r="G488" s="12"/>
    </row>
    <row r="489" spans="1:7" ht="15.75" customHeight="1" thickBot="1">
      <c r="A489" s="10"/>
      <c r="B489" s="10"/>
      <c r="C489" s="12"/>
      <c r="D489" s="12"/>
      <c r="E489" s="12"/>
      <c r="F489" s="12"/>
      <c r="G489" s="12"/>
    </row>
    <row r="490" spans="1:7" ht="15.75" customHeight="1" thickBot="1">
      <c r="A490" s="10"/>
      <c r="B490" s="10"/>
      <c r="C490" s="12"/>
      <c r="D490" s="12"/>
      <c r="E490" s="12"/>
      <c r="F490" s="12"/>
      <c r="G490" s="12"/>
    </row>
    <row r="491" spans="1:7" ht="15.75" customHeight="1" thickBot="1">
      <c r="A491" s="10"/>
      <c r="B491" s="10"/>
      <c r="C491" s="12"/>
      <c r="D491" s="12"/>
      <c r="E491" s="12"/>
      <c r="F491" s="12"/>
      <c r="G491" s="12"/>
    </row>
    <row r="492" spans="1:7" ht="15.75" customHeight="1" thickBot="1">
      <c r="A492" s="10"/>
      <c r="B492" s="10"/>
      <c r="C492" s="12"/>
      <c r="D492" s="12"/>
      <c r="E492" s="12"/>
      <c r="F492" s="12"/>
      <c r="G492" s="12"/>
    </row>
    <row r="493" spans="1:7" ht="15.75" customHeight="1" thickBot="1">
      <c r="A493" s="10"/>
      <c r="B493" s="10"/>
      <c r="C493" s="12"/>
      <c r="D493" s="12"/>
      <c r="E493" s="12"/>
      <c r="F493" s="12"/>
      <c r="G493" s="12"/>
    </row>
    <row r="494" spans="1:7" ht="15.75" customHeight="1" thickBot="1">
      <c r="A494" s="10"/>
      <c r="B494" s="10"/>
      <c r="C494" s="12"/>
      <c r="D494" s="12"/>
      <c r="E494" s="12"/>
      <c r="F494" s="12"/>
      <c r="G494" s="12"/>
    </row>
    <row r="495" spans="1:7" ht="15.75" customHeight="1" thickBot="1">
      <c r="A495" s="10"/>
      <c r="B495" s="10"/>
      <c r="C495" s="12"/>
      <c r="D495" s="12"/>
      <c r="E495" s="12"/>
      <c r="F495" s="12"/>
      <c r="G495" s="12"/>
    </row>
    <row r="496" spans="1:7" ht="15.75" customHeight="1" thickBot="1">
      <c r="A496" s="10"/>
      <c r="B496" s="10"/>
      <c r="C496" s="12"/>
      <c r="D496" s="12"/>
      <c r="E496" s="12"/>
      <c r="F496" s="12"/>
      <c r="G496" s="12"/>
    </row>
    <row r="497" spans="1:7" ht="15.75" customHeight="1" thickBot="1">
      <c r="A497" s="10"/>
      <c r="B497" s="10"/>
      <c r="C497" s="12"/>
      <c r="D497" s="12"/>
      <c r="E497" s="12"/>
      <c r="F497" s="12"/>
      <c r="G497" s="12"/>
    </row>
    <row r="498" spans="1:7" ht="15.75" customHeight="1" thickBot="1">
      <c r="A498" s="10"/>
      <c r="B498" s="10"/>
      <c r="C498" s="12"/>
      <c r="D498" s="12"/>
      <c r="E498" s="12"/>
      <c r="F498" s="12"/>
      <c r="G498" s="12"/>
    </row>
    <row r="499" spans="1:7" ht="15.75" customHeight="1" thickBot="1">
      <c r="A499" s="10"/>
      <c r="B499" s="10"/>
      <c r="C499" s="12"/>
      <c r="D499" s="12"/>
      <c r="E499" s="12"/>
      <c r="F499" s="12"/>
      <c r="G499" s="12"/>
    </row>
    <row r="500" spans="1:7" ht="15.75" customHeight="1" thickBot="1">
      <c r="A500" s="10"/>
      <c r="B500" s="10"/>
      <c r="C500" s="12"/>
      <c r="D500" s="12"/>
      <c r="E500" s="12"/>
      <c r="F500" s="12"/>
      <c r="G500" s="12"/>
    </row>
    <row r="501" spans="1:7" ht="15.75" customHeight="1" thickBot="1">
      <c r="A501" s="10"/>
      <c r="B501" s="10"/>
      <c r="C501" s="12"/>
      <c r="D501" s="12"/>
      <c r="E501" s="12"/>
      <c r="F501" s="12"/>
      <c r="G501" s="12"/>
    </row>
    <row r="502" spans="1:7" ht="15.75" customHeight="1" thickBot="1">
      <c r="A502" s="10"/>
      <c r="B502" s="10"/>
      <c r="C502" s="12"/>
      <c r="D502" s="12"/>
      <c r="E502" s="12"/>
      <c r="F502" s="12"/>
      <c r="G502" s="12"/>
    </row>
    <row r="503" spans="1:7" ht="15.75" customHeight="1" thickBot="1">
      <c r="A503" s="10"/>
      <c r="B503" s="10"/>
      <c r="C503" s="12"/>
      <c r="D503" s="12"/>
      <c r="E503" s="12"/>
      <c r="F503" s="12"/>
      <c r="G503" s="12"/>
    </row>
    <row r="504" spans="1:7" ht="15.75" customHeight="1" thickBot="1">
      <c r="A504" s="10"/>
      <c r="B504" s="10"/>
      <c r="C504" s="12"/>
      <c r="D504" s="12"/>
      <c r="E504" s="12"/>
      <c r="F504" s="12"/>
      <c r="G504" s="12"/>
    </row>
    <row r="505" spans="1:7" ht="15.75" customHeight="1" thickBot="1">
      <c r="A505" s="10"/>
      <c r="B505" s="10"/>
      <c r="C505" s="12"/>
      <c r="D505" s="12"/>
      <c r="E505" s="12"/>
      <c r="F505" s="12"/>
      <c r="G505" s="12"/>
    </row>
    <row r="506" spans="1:7" ht="15.75" customHeight="1" thickBot="1">
      <c r="A506" s="10"/>
      <c r="B506" s="10"/>
      <c r="C506" s="12"/>
      <c r="D506" s="12"/>
      <c r="E506" s="12"/>
      <c r="F506" s="12"/>
      <c r="G506" s="12"/>
    </row>
    <row r="507" spans="1:7" ht="15.75" customHeight="1" thickBot="1">
      <c r="A507" s="10"/>
      <c r="B507" s="10"/>
      <c r="C507" s="12"/>
      <c r="D507" s="12"/>
      <c r="E507" s="12"/>
      <c r="F507" s="12"/>
      <c r="G507" s="12"/>
    </row>
    <row r="508" spans="1:7" ht="15.75" customHeight="1" thickBot="1">
      <c r="A508" s="10"/>
      <c r="B508" s="10"/>
      <c r="C508" s="12"/>
      <c r="D508" s="12"/>
      <c r="E508" s="12"/>
      <c r="F508" s="12"/>
      <c r="G508" s="12"/>
    </row>
    <row r="509" spans="1:7" ht="15.75" customHeight="1" thickBot="1">
      <c r="A509" s="10"/>
      <c r="B509" s="10"/>
      <c r="C509" s="12"/>
      <c r="D509" s="12"/>
      <c r="E509" s="12"/>
      <c r="F509" s="12"/>
      <c r="G509" s="12"/>
    </row>
    <row r="510" spans="1:7" ht="15.75" customHeight="1" thickBot="1">
      <c r="A510" s="10"/>
      <c r="B510" s="10"/>
      <c r="C510" s="12"/>
      <c r="D510" s="12"/>
      <c r="E510" s="12"/>
      <c r="F510" s="12"/>
      <c r="G510" s="12"/>
    </row>
    <row r="511" spans="1:7" ht="15.75" customHeight="1" thickBot="1">
      <c r="A511" s="10"/>
      <c r="B511" s="10"/>
      <c r="C511" s="12"/>
      <c r="D511" s="12"/>
      <c r="E511" s="12"/>
      <c r="F511" s="12"/>
      <c r="G511" s="12"/>
    </row>
    <row r="512" spans="1:7" ht="15.75" customHeight="1" thickBot="1">
      <c r="A512" s="10"/>
      <c r="B512" s="10"/>
      <c r="C512" s="12"/>
      <c r="D512" s="12"/>
      <c r="E512" s="12"/>
      <c r="F512" s="12"/>
      <c r="G512" s="12"/>
    </row>
    <row r="513" spans="1:7" ht="15.75" customHeight="1" thickBot="1">
      <c r="A513" s="10"/>
      <c r="B513" s="10"/>
      <c r="C513" s="12"/>
      <c r="D513" s="12"/>
      <c r="E513" s="12"/>
      <c r="F513" s="12"/>
      <c r="G513" s="12"/>
    </row>
    <row r="514" spans="1:7" ht="15.75" customHeight="1" thickBot="1">
      <c r="A514" s="10"/>
      <c r="B514" s="10"/>
      <c r="C514" s="12"/>
      <c r="D514" s="12"/>
      <c r="E514" s="12"/>
      <c r="F514" s="12"/>
      <c r="G514" s="12"/>
    </row>
    <row r="515" spans="1:7" ht="15.75" customHeight="1" thickBot="1">
      <c r="A515" s="10"/>
      <c r="B515" s="10"/>
      <c r="C515" s="12"/>
      <c r="D515" s="12"/>
      <c r="E515" s="12"/>
      <c r="F515" s="12"/>
      <c r="G515" s="12"/>
    </row>
    <row r="516" spans="1:7" ht="15.75" customHeight="1" thickBot="1">
      <c r="A516" s="10"/>
      <c r="B516" s="10"/>
      <c r="C516" s="12"/>
      <c r="D516" s="12"/>
      <c r="E516" s="12"/>
      <c r="F516" s="12"/>
      <c r="G516" s="12"/>
    </row>
    <row r="517" spans="1:7" ht="15.75" customHeight="1" thickBot="1">
      <c r="A517" s="10"/>
      <c r="B517" s="10"/>
      <c r="C517" s="12"/>
      <c r="D517" s="12"/>
      <c r="E517" s="12"/>
      <c r="F517" s="12"/>
      <c r="G517" s="12"/>
    </row>
    <row r="518" spans="1:7" ht="15.75" customHeight="1" thickBot="1">
      <c r="A518" s="10"/>
      <c r="B518" s="10"/>
      <c r="C518" s="12"/>
      <c r="D518" s="12"/>
      <c r="E518" s="12"/>
      <c r="F518" s="12"/>
      <c r="G518" s="12"/>
    </row>
    <row r="519" spans="1:7" ht="15.75" customHeight="1" thickBot="1">
      <c r="A519" s="10"/>
      <c r="B519" s="10"/>
      <c r="C519" s="12"/>
      <c r="D519" s="12"/>
      <c r="E519" s="12"/>
      <c r="F519" s="12"/>
      <c r="G519" s="12"/>
    </row>
    <row r="520" spans="1:7" ht="15.75" customHeight="1" thickBot="1">
      <c r="A520" s="10"/>
      <c r="B520" s="10"/>
      <c r="C520" s="12"/>
      <c r="D520" s="12"/>
      <c r="E520" s="12"/>
      <c r="F520" s="12"/>
      <c r="G520" s="12"/>
    </row>
    <row r="521" spans="1:7" ht="15.75" customHeight="1" thickBot="1">
      <c r="A521" s="10"/>
      <c r="B521" s="10"/>
      <c r="C521" s="12"/>
      <c r="D521" s="12"/>
      <c r="E521" s="12"/>
      <c r="F521" s="12"/>
      <c r="G521" s="12"/>
    </row>
    <row r="522" spans="1:7" ht="15.75" customHeight="1" thickBot="1">
      <c r="A522" s="10"/>
      <c r="B522" s="10"/>
      <c r="C522" s="12"/>
      <c r="D522" s="12"/>
      <c r="E522" s="12"/>
      <c r="F522" s="12"/>
      <c r="G522" s="12"/>
    </row>
    <row r="523" spans="1:7" ht="15.75" customHeight="1" thickBot="1">
      <c r="A523" s="10"/>
      <c r="B523" s="10"/>
      <c r="C523" s="12"/>
      <c r="D523" s="12"/>
      <c r="E523" s="12"/>
      <c r="F523" s="12"/>
      <c r="G523" s="12"/>
    </row>
    <row r="524" spans="1:7" ht="15.75" customHeight="1" thickBot="1">
      <c r="A524" s="10"/>
      <c r="B524" s="10"/>
      <c r="C524" s="12"/>
      <c r="D524" s="12"/>
      <c r="E524" s="12"/>
      <c r="F524" s="12"/>
      <c r="G524" s="12"/>
    </row>
    <row r="525" spans="1:7" ht="15.75" customHeight="1" thickBot="1">
      <c r="A525" s="10"/>
      <c r="B525" s="10"/>
      <c r="C525" s="12"/>
      <c r="D525" s="12"/>
      <c r="E525" s="12"/>
      <c r="F525" s="12"/>
      <c r="G525" s="12"/>
    </row>
    <row r="526" spans="1:7" ht="15.75" customHeight="1" thickBot="1">
      <c r="A526" s="10"/>
      <c r="B526" s="10"/>
      <c r="C526" s="12"/>
      <c r="D526" s="12"/>
      <c r="E526" s="12"/>
      <c r="F526" s="12"/>
      <c r="G526" s="12"/>
    </row>
    <row r="527" spans="1:7" ht="15.75" customHeight="1" thickBot="1">
      <c r="A527" s="10"/>
      <c r="B527" s="10"/>
      <c r="C527" s="12"/>
      <c r="D527" s="12"/>
      <c r="E527" s="12"/>
      <c r="F527" s="12"/>
      <c r="G527" s="12"/>
    </row>
    <row r="528" spans="1:7" ht="15.75" customHeight="1" thickBot="1">
      <c r="A528" s="10"/>
      <c r="B528" s="10"/>
      <c r="C528" s="12"/>
      <c r="D528" s="12"/>
      <c r="E528" s="12"/>
      <c r="F528" s="12"/>
      <c r="G528" s="12"/>
    </row>
    <row r="529" spans="1:7" ht="15.75" customHeight="1" thickBot="1">
      <c r="A529" s="10"/>
      <c r="B529" s="10"/>
      <c r="C529" s="12"/>
      <c r="D529" s="12"/>
      <c r="E529" s="12"/>
      <c r="F529" s="12"/>
      <c r="G529" s="12"/>
    </row>
    <row r="530" spans="1:7" ht="15.75" customHeight="1" thickBot="1">
      <c r="A530" s="10"/>
      <c r="B530" s="10"/>
      <c r="C530" s="12"/>
      <c r="D530" s="12"/>
      <c r="E530" s="12"/>
      <c r="F530" s="12"/>
      <c r="G530" s="12"/>
    </row>
    <row r="531" spans="1:7" ht="15.75" customHeight="1" thickBot="1">
      <c r="A531" s="10"/>
      <c r="B531" s="10"/>
      <c r="C531" s="12"/>
      <c r="D531" s="12"/>
      <c r="E531" s="12"/>
      <c r="F531" s="12"/>
      <c r="G531" s="12"/>
    </row>
    <row r="532" spans="1:7" ht="15.75" customHeight="1" thickBot="1">
      <c r="A532" s="10"/>
      <c r="B532" s="10"/>
      <c r="C532" s="12"/>
      <c r="D532" s="12"/>
      <c r="E532" s="12"/>
      <c r="F532" s="12"/>
      <c r="G532" s="12"/>
    </row>
    <row r="533" spans="1:7" ht="15.75" customHeight="1" thickBot="1">
      <c r="A533" s="10"/>
      <c r="B533" s="10"/>
      <c r="C533" s="12"/>
      <c r="D533" s="12"/>
      <c r="E533" s="12"/>
      <c r="F533" s="12"/>
      <c r="G533" s="12"/>
    </row>
    <row r="534" spans="1:7" ht="15.75" customHeight="1" thickBot="1">
      <c r="A534" s="10"/>
      <c r="B534" s="10"/>
      <c r="C534" s="12"/>
      <c r="D534" s="12"/>
      <c r="E534" s="12"/>
      <c r="F534" s="12"/>
      <c r="G534" s="12"/>
    </row>
    <row r="535" spans="1:7" ht="15.75" customHeight="1" thickBot="1">
      <c r="A535" s="10"/>
      <c r="B535" s="10"/>
      <c r="C535" s="12"/>
      <c r="D535" s="12"/>
      <c r="E535" s="12"/>
      <c r="F535" s="12"/>
      <c r="G535" s="12"/>
    </row>
    <row r="536" spans="1:7" ht="15.75" customHeight="1" thickBot="1">
      <c r="A536" s="10"/>
      <c r="B536" s="10"/>
      <c r="C536" s="12"/>
      <c r="D536" s="12"/>
      <c r="E536" s="12"/>
      <c r="F536" s="12"/>
      <c r="G536" s="12"/>
    </row>
    <row r="537" spans="1:7" ht="15.75" customHeight="1" thickBot="1">
      <c r="A537" s="10"/>
      <c r="B537" s="10"/>
      <c r="C537" s="12"/>
      <c r="D537" s="12"/>
      <c r="E537" s="12"/>
      <c r="F537" s="12"/>
      <c r="G537" s="12"/>
    </row>
    <row r="538" spans="1:7" ht="15.75" customHeight="1" thickBot="1">
      <c r="A538" s="10"/>
      <c r="B538" s="10"/>
      <c r="C538" s="12"/>
      <c r="D538" s="12"/>
      <c r="E538" s="12"/>
      <c r="F538" s="12"/>
      <c r="G538" s="12"/>
    </row>
    <row r="539" spans="1:7" ht="15.75" customHeight="1" thickBot="1">
      <c r="A539" s="10"/>
      <c r="B539" s="10"/>
      <c r="C539" s="12"/>
      <c r="D539" s="12"/>
      <c r="E539" s="12"/>
      <c r="F539" s="12"/>
      <c r="G539" s="12"/>
    </row>
    <row r="540" spans="1:7" ht="15.75" customHeight="1" thickBot="1">
      <c r="A540" s="10"/>
      <c r="B540" s="10"/>
      <c r="C540" s="12"/>
      <c r="D540" s="12"/>
      <c r="E540" s="12"/>
      <c r="F540" s="12"/>
      <c r="G540" s="12"/>
    </row>
    <row r="541" spans="1:7" ht="15.75" customHeight="1" thickBot="1">
      <c r="A541" s="10"/>
      <c r="B541" s="10"/>
      <c r="C541" s="12"/>
      <c r="D541" s="12"/>
      <c r="E541" s="12"/>
      <c r="F541" s="12"/>
      <c r="G541" s="12"/>
    </row>
    <row r="542" spans="1:7" ht="15.75" customHeight="1" thickBot="1">
      <c r="A542" s="10"/>
      <c r="B542" s="10"/>
      <c r="C542" s="12"/>
      <c r="D542" s="12"/>
      <c r="E542" s="12"/>
      <c r="F542" s="12"/>
      <c r="G542" s="12"/>
    </row>
    <row r="543" spans="1:7" ht="15.75" customHeight="1" thickBot="1">
      <c r="A543" s="10"/>
      <c r="B543" s="10"/>
      <c r="C543" s="12"/>
      <c r="D543" s="12"/>
      <c r="E543" s="12"/>
      <c r="F543" s="12"/>
      <c r="G543" s="12"/>
    </row>
    <row r="544" spans="1:7" ht="15.75" customHeight="1" thickBot="1">
      <c r="A544" s="10"/>
      <c r="B544" s="10"/>
      <c r="C544" s="12"/>
      <c r="D544" s="12"/>
      <c r="E544" s="12"/>
      <c r="F544" s="12"/>
      <c r="G544" s="12"/>
    </row>
    <row r="545" spans="1:7" ht="15.75" customHeight="1" thickBot="1">
      <c r="A545" s="10"/>
      <c r="B545" s="10"/>
      <c r="C545" s="12"/>
      <c r="D545" s="12"/>
      <c r="E545" s="12"/>
      <c r="F545" s="12"/>
      <c r="G545" s="12"/>
    </row>
    <row r="546" spans="1:7" ht="15.75" customHeight="1" thickBot="1">
      <c r="A546" s="10"/>
      <c r="B546" s="10"/>
      <c r="C546" s="12"/>
      <c r="D546" s="12"/>
      <c r="E546" s="12"/>
      <c r="F546" s="12"/>
      <c r="G546" s="12"/>
    </row>
    <row r="547" spans="1:7" ht="15.75" customHeight="1" thickBot="1">
      <c r="A547" s="10"/>
      <c r="B547" s="10"/>
      <c r="C547" s="12"/>
      <c r="D547" s="12"/>
      <c r="E547" s="12"/>
      <c r="F547" s="12"/>
      <c r="G547" s="12"/>
    </row>
    <row r="548" spans="1:7" ht="15.75" customHeight="1" thickBot="1">
      <c r="A548" s="10"/>
      <c r="B548" s="10"/>
      <c r="C548" s="12"/>
      <c r="D548" s="12"/>
      <c r="E548" s="12"/>
      <c r="F548" s="12"/>
      <c r="G548" s="12"/>
    </row>
    <row r="549" spans="1:7" ht="15.75" customHeight="1" thickBot="1">
      <c r="A549" s="10"/>
      <c r="B549" s="10"/>
      <c r="C549" s="12"/>
      <c r="D549" s="12"/>
      <c r="E549" s="12"/>
      <c r="F549" s="12"/>
      <c r="G549" s="12"/>
    </row>
    <row r="550" spans="1:7" ht="15.75" customHeight="1" thickBot="1">
      <c r="A550" s="10"/>
      <c r="B550" s="10"/>
      <c r="C550" s="12"/>
      <c r="D550" s="12"/>
      <c r="E550" s="12"/>
      <c r="F550" s="12"/>
      <c r="G550" s="12"/>
    </row>
    <row r="551" spans="1:7" ht="15.75" customHeight="1" thickBot="1">
      <c r="A551" s="10"/>
      <c r="B551" s="10"/>
      <c r="C551" s="12"/>
      <c r="D551" s="12"/>
      <c r="E551" s="12"/>
      <c r="F551" s="12"/>
      <c r="G551" s="12"/>
    </row>
    <row r="552" spans="1:7" ht="15.75" customHeight="1" thickBot="1">
      <c r="A552" s="10"/>
      <c r="B552" s="10"/>
      <c r="C552" s="12"/>
      <c r="D552" s="12"/>
      <c r="E552" s="12"/>
      <c r="F552" s="12"/>
      <c r="G552" s="12"/>
    </row>
    <row r="553" spans="1:7" ht="15.75" customHeight="1" thickBot="1">
      <c r="A553" s="10"/>
      <c r="B553" s="10"/>
      <c r="C553" s="12"/>
      <c r="D553" s="12"/>
      <c r="E553" s="12"/>
      <c r="F553" s="12"/>
      <c r="G553" s="12"/>
    </row>
    <row r="554" spans="1:7" ht="15.75" customHeight="1" thickBot="1">
      <c r="A554" s="10"/>
      <c r="B554" s="10"/>
      <c r="C554" s="12"/>
      <c r="D554" s="12"/>
      <c r="E554" s="12"/>
      <c r="F554" s="12"/>
      <c r="G554" s="12"/>
    </row>
    <row r="555" spans="1:7" ht="15.75" customHeight="1" thickBot="1">
      <c r="A555" s="10"/>
      <c r="B555" s="10"/>
      <c r="C555" s="12"/>
      <c r="D555" s="12"/>
      <c r="E555" s="12"/>
      <c r="F555" s="12"/>
      <c r="G555" s="12"/>
    </row>
    <row r="556" spans="1:7" ht="15.75" customHeight="1" thickBot="1">
      <c r="A556" s="10"/>
      <c r="B556" s="10"/>
      <c r="C556" s="12"/>
      <c r="D556" s="12"/>
      <c r="E556" s="12"/>
      <c r="F556" s="12"/>
      <c r="G556" s="12"/>
    </row>
    <row r="557" spans="1:7" ht="15.75" customHeight="1" thickBot="1">
      <c r="A557" s="10"/>
      <c r="B557" s="10"/>
      <c r="C557" s="12"/>
      <c r="D557" s="12"/>
      <c r="E557" s="12"/>
      <c r="F557" s="12"/>
      <c r="G557" s="12"/>
    </row>
    <row r="558" spans="1:7" ht="15.75" customHeight="1" thickBot="1">
      <c r="A558" s="10"/>
      <c r="B558" s="10"/>
      <c r="C558" s="12"/>
      <c r="D558" s="12"/>
      <c r="E558" s="12"/>
      <c r="F558" s="12"/>
      <c r="G558" s="12"/>
    </row>
    <row r="559" spans="1:7" ht="15.75" customHeight="1" thickBot="1">
      <c r="A559" s="10"/>
      <c r="B559" s="10"/>
      <c r="C559" s="12"/>
      <c r="D559" s="12"/>
      <c r="E559" s="12"/>
      <c r="F559" s="12"/>
      <c r="G559" s="12"/>
    </row>
    <row r="560" spans="1:7" ht="15.75" customHeight="1" thickBot="1">
      <c r="A560" s="10"/>
      <c r="B560" s="10"/>
      <c r="C560" s="12"/>
      <c r="D560" s="12"/>
      <c r="E560" s="12"/>
      <c r="F560" s="12"/>
      <c r="G560" s="12"/>
    </row>
    <row r="561" spans="1:7" ht="15.75" customHeight="1" thickBot="1">
      <c r="A561" s="10"/>
      <c r="B561" s="10"/>
      <c r="C561" s="12"/>
      <c r="D561" s="12"/>
      <c r="E561" s="12"/>
      <c r="F561" s="12"/>
      <c r="G561" s="12"/>
    </row>
    <row r="562" spans="1:7" ht="15.75" customHeight="1" thickBot="1">
      <c r="A562" s="10"/>
      <c r="B562" s="10"/>
      <c r="C562" s="12"/>
      <c r="D562" s="12"/>
      <c r="E562" s="12"/>
      <c r="F562" s="12"/>
      <c r="G562" s="12"/>
    </row>
    <row r="563" spans="1:7" ht="15.75" customHeight="1" thickBot="1">
      <c r="A563" s="10"/>
      <c r="B563" s="10"/>
      <c r="C563" s="12"/>
      <c r="D563" s="12"/>
      <c r="E563" s="12"/>
      <c r="F563" s="12"/>
      <c r="G563" s="12"/>
    </row>
    <row r="564" spans="1:7" ht="15.75" customHeight="1" thickBot="1">
      <c r="A564" s="10"/>
      <c r="B564" s="10"/>
      <c r="C564" s="12"/>
      <c r="D564" s="12"/>
      <c r="E564" s="12"/>
      <c r="F564" s="12"/>
      <c r="G564" s="12"/>
    </row>
    <row r="565" spans="1:7" ht="15.75" customHeight="1" thickBot="1">
      <c r="A565" s="10"/>
      <c r="B565" s="10"/>
      <c r="C565" s="12"/>
      <c r="D565" s="12"/>
      <c r="E565" s="12"/>
      <c r="F565" s="12"/>
      <c r="G565" s="12"/>
    </row>
    <row r="566" spans="1:7" ht="15.75" customHeight="1" thickBot="1">
      <c r="A566" s="10"/>
      <c r="B566" s="10"/>
      <c r="C566" s="12"/>
      <c r="D566" s="12"/>
      <c r="E566" s="12"/>
      <c r="F566" s="12"/>
      <c r="G566" s="12"/>
    </row>
    <row r="567" spans="1:7" ht="15.75" customHeight="1" thickBot="1">
      <c r="A567" s="10"/>
      <c r="B567" s="10"/>
      <c r="C567" s="12"/>
      <c r="D567" s="12"/>
      <c r="E567" s="12"/>
      <c r="F567" s="12"/>
      <c r="G567" s="12"/>
    </row>
    <row r="568" spans="1:7" ht="15.75" customHeight="1" thickBot="1">
      <c r="A568" s="10"/>
      <c r="B568" s="10"/>
      <c r="C568" s="12"/>
      <c r="D568" s="12"/>
      <c r="E568" s="12"/>
      <c r="F568" s="12"/>
      <c r="G568" s="12"/>
    </row>
    <row r="569" spans="1:7" ht="15.75" customHeight="1" thickBot="1">
      <c r="A569" s="10"/>
      <c r="B569" s="10"/>
      <c r="C569" s="12"/>
      <c r="D569" s="12"/>
      <c r="E569" s="12"/>
      <c r="F569" s="12"/>
      <c r="G569" s="12"/>
    </row>
    <row r="570" spans="1:7" ht="15.75" customHeight="1" thickBot="1">
      <c r="A570" s="10"/>
      <c r="B570" s="10"/>
      <c r="C570" s="12"/>
      <c r="D570" s="12"/>
      <c r="E570" s="12"/>
      <c r="F570" s="12"/>
      <c r="G570" s="12"/>
    </row>
    <row r="571" spans="1:7" ht="15.75" customHeight="1" thickBot="1">
      <c r="A571" s="10"/>
      <c r="B571" s="10"/>
      <c r="C571" s="12"/>
      <c r="D571" s="12"/>
      <c r="E571" s="12"/>
      <c r="F571" s="12"/>
      <c r="G571" s="12"/>
    </row>
    <row r="572" spans="1:7" ht="15.75" customHeight="1" thickBot="1">
      <c r="A572" s="10"/>
      <c r="B572" s="10"/>
      <c r="C572" s="12"/>
      <c r="D572" s="12"/>
      <c r="E572" s="12"/>
      <c r="F572" s="12"/>
      <c r="G572" s="12"/>
    </row>
    <row r="573" spans="1:7" ht="15.75" customHeight="1" thickBot="1">
      <c r="A573" s="10"/>
      <c r="B573" s="10"/>
      <c r="C573" s="12"/>
      <c r="D573" s="12"/>
      <c r="E573" s="12"/>
      <c r="F573" s="12"/>
      <c r="G573" s="12"/>
    </row>
    <row r="574" spans="1:7" ht="15.75" customHeight="1" thickBot="1">
      <c r="A574" s="10"/>
      <c r="B574" s="10"/>
      <c r="C574" s="12"/>
      <c r="D574" s="12"/>
      <c r="E574" s="12"/>
      <c r="F574" s="12"/>
      <c r="G574" s="12"/>
    </row>
    <row r="575" spans="1:7" ht="15.75" customHeight="1" thickBot="1">
      <c r="A575" s="10"/>
      <c r="B575" s="10"/>
      <c r="C575" s="12"/>
      <c r="D575" s="12"/>
      <c r="E575" s="12"/>
      <c r="F575" s="12"/>
      <c r="G575" s="12"/>
    </row>
    <row r="576" spans="1:7" ht="15.75" customHeight="1" thickBot="1">
      <c r="A576" s="10"/>
      <c r="B576" s="10"/>
      <c r="C576" s="12"/>
      <c r="D576" s="12"/>
      <c r="E576" s="12"/>
      <c r="F576" s="12"/>
      <c r="G576" s="12"/>
    </row>
    <row r="577" spans="1:7" ht="15.75" customHeight="1" thickBot="1">
      <c r="A577" s="10"/>
      <c r="B577" s="10"/>
      <c r="C577" s="12"/>
      <c r="D577" s="12"/>
      <c r="E577" s="12"/>
      <c r="F577" s="12"/>
      <c r="G577" s="12"/>
    </row>
    <row r="578" spans="1:7" ht="15.75" customHeight="1" thickBot="1">
      <c r="A578" s="10"/>
      <c r="B578" s="10"/>
      <c r="C578" s="12"/>
      <c r="D578" s="12"/>
      <c r="E578" s="12"/>
      <c r="F578" s="12"/>
      <c r="G578" s="12"/>
    </row>
    <row r="579" spans="1:7" ht="15.75" customHeight="1" thickBot="1">
      <c r="A579" s="10"/>
      <c r="B579" s="10"/>
      <c r="C579" s="12"/>
      <c r="D579" s="12"/>
      <c r="E579" s="12"/>
      <c r="F579" s="12"/>
      <c r="G579" s="12"/>
    </row>
    <row r="580" spans="1:7" ht="15.75" customHeight="1" thickBot="1">
      <c r="A580" s="10"/>
      <c r="B580" s="10"/>
      <c r="C580" s="12"/>
      <c r="D580" s="12"/>
      <c r="E580" s="12"/>
      <c r="F580" s="12"/>
      <c r="G580" s="12"/>
    </row>
    <row r="581" spans="1:7" ht="15.75" customHeight="1" thickBot="1">
      <c r="A581" s="10"/>
      <c r="B581" s="10"/>
      <c r="C581" s="12"/>
      <c r="D581" s="12"/>
      <c r="E581" s="12"/>
      <c r="F581" s="12"/>
      <c r="G581" s="12"/>
    </row>
    <row r="582" spans="1:7" ht="15.75" customHeight="1" thickBot="1">
      <c r="A582" s="10"/>
      <c r="B582" s="10"/>
      <c r="C582" s="12"/>
      <c r="D582" s="12"/>
      <c r="E582" s="12"/>
      <c r="F582" s="12"/>
      <c r="G582" s="12"/>
    </row>
    <row r="583" spans="1:7" ht="15.75" customHeight="1" thickBot="1">
      <c r="A583" s="10"/>
      <c r="B583" s="10"/>
      <c r="C583" s="12"/>
      <c r="D583" s="12"/>
      <c r="E583" s="12"/>
      <c r="F583" s="12"/>
      <c r="G583" s="12"/>
    </row>
    <row r="584" spans="1:7" ht="15.75" customHeight="1" thickBot="1">
      <c r="A584" s="10"/>
      <c r="B584" s="10"/>
      <c r="C584" s="12"/>
      <c r="D584" s="12"/>
      <c r="E584" s="12"/>
      <c r="F584" s="12"/>
      <c r="G584" s="12"/>
    </row>
    <row r="585" spans="1:7" ht="15.75" customHeight="1" thickBot="1">
      <c r="A585" s="10"/>
      <c r="B585" s="10"/>
      <c r="C585" s="12"/>
      <c r="D585" s="12"/>
      <c r="E585" s="12"/>
      <c r="F585" s="12"/>
      <c r="G585" s="12"/>
    </row>
    <row r="586" spans="1:7" ht="15.75" customHeight="1" thickBot="1">
      <c r="A586" s="10"/>
      <c r="B586" s="10"/>
      <c r="C586" s="12"/>
      <c r="D586" s="12"/>
      <c r="E586" s="12"/>
      <c r="F586" s="12"/>
      <c r="G586" s="12"/>
    </row>
    <row r="587" spans="1:7" ht="15.75" customHeight="1" thickBot="1">
      <c r="A587" s="10"/>
      <c r="B587" s="10"/>
      <c r="C587" s="12"/>
      <c r="D587" s="12"/>
      <c r="E587" s="12"/>
      <c r="F587" s="12"/>
      <c r="G587" s="12"/>
    </row>
    <row r="588" spans="1:7" ht="15.75" customHeight="1" thickBot="1">
      <c r="A588" s="10"/>
      <c r="B588" s="10"/>
      <c r="C588" s="12"/>
      <c r="D588" s="12"/>
      <c r="E588" s="12"/>
      <c r="F588" s="12"/>
      <c r="G588" s="12"/>
    </row>
    <row r="589" spans="1:7" ht="15.75" customHeight="1" thickBot="1">
      <c r="A589" s="10"/>
      <c r="B589" s="10"/>
      <c r="C589" s="12"/>
      <c r="D589" s="12"/>
      <c r="E589" s="12"/>
      <c r="F589" s="12"/>
      <c r="G589" s="12"/>
    </row>
    <row r="590" spans="1:7" ht="15.75" customHeight="1" thickBot="1">
      <c r="A590" s="10"/>
      <c r="B590" s="10"/>
      <c r="C590" s="12"/>
      <c r="D590" s="12"/>
      <c r="E590" s="12"/>
      <c r="F590" s="12"/>
      <c r="G590" s="12"/>
    </row>
    <row r="591" spans="1:7" ht="15.75" customHeight="1" thickBot="1">
      <c r="A591" s="10"/>
      <c r="B591" s="10"/>
      <c r="C591" s="12"/>
      <c r="D591" s="12"/>
      <c r="E591" s="12"/>
      <c r="F591" s="12"/>
      <c r="G591" s="12"/>
    </row>
    <row r="592" spans="1:7" ht="15.75" customHeight="1" thickBot="1">
      <c r="A592" s="10"/>
      <c r="B592" s="10"/>
      <c r="C592" s="12"/>
      <c r="D592" s="12"/>
      <c r="E592" s="12"/>
      <c r="F592" s="12"/>
      <c r="G592" s="12"/>
    </row>
    <row r="593" spans="1:7" ht="15.75" customHeight="1" thickBot="1">
      <c r="A593" s="10"/>
      <c r="B593" s="10"/>
      <c r="C593" s="12"/>
      <c r="D593" s="12"/>
      <c r="E593" s="12"/>
      <c r="F593" s="12"/>
      <c r="G593" s="12"/>
    </row>
    <row r="594" spans="1:7" ht="15.75" customHeight="1" thickBot="1">
      <c r="A594" s="10"/>
      <c r="B594" s="10"/>
      <c r="C594" s="12"/>
      <c r="D594" s="12"/>
      <c r="E594" s="12"/>
      <c r="F594" s="12"/>
      <c r="G594" s="12"/>
    </row>
    <row r="595" spans="1:7" ht="15.75" customHeight="1" thickBot="1">
      <c r="A595" s="10"/>
      <c r="B595" s="10"/>
      <c r="C595" s="12"/>
      <c r="D595" s="12"/>
      <c r="E595" s="12"/>
      <c r="F595" s="12"/>
      <c r="G595" s="12"/>
    </row>
    <row r="596" spans="1:7" ht="15.75" customHeight="1" thickBot="1">
      <c r="A596" s="10"/>
      <c r="B596" s="10"/>
      <c r="C596" s="12"/>
      <c r="D596" s="12"/>
      <c r="E596" s="12"/>
      <c r="F596" s="12"/>
      <c r="G596" s="12"/>
    </row>
    <row r="597" spans="1:7" ht="15.75" customHeight="1" thickBot="1">
      <c r="A597" s="10"/>
      <c r="B597" s="10"/>
      <c r="C597" s="12"/>
      <c r="D597" s="12"/>
      <c r="E597" s="12"/>
      <c r="F597" s="12"/>
      <c r="G597" s="12"/>
    </row>
    <row r="598" spans="1:7" ht="15.75" customHeight="1" thickBot="1">
      <c r="A598" s="10"/>
      <c r="B598" s="10"/>
      <c r="C598" s="12"/>
      <c r="D598" s="12"/>
      <c r="E598" s="12"/>
      <c r="F598" s="12"/>
      <c r="G598" s="12"/>
    </row>
    <row r="599" spans="1:7" ht="15.75" customHeight="1" thickBot="1">
      <c r="A599" s="10"/>
      <c r="B599" s="10"/>
      <c r="C599" s="12"/>
      <c r="D599" s="12"/>
      <c r="E599" s="12"/>
      <c r="F599" s="12"/>
      <c r="G599" s="12"/>
    </row>
    <row r="600" spans="1:7" ht="15.75" customHeight="1" thickBot="1">
      <c r="A600" s="10"/>
      <c r="B600" s="10"/>
      <c r="C600" s="12"/>
      <c r="D600" s="12"/>
      <c r="E600" s="12"/>
      <c r="F600" s="12"/>
      <c r="G600" s="12"/>
    </row>
    <row r="601" spans="1:7" ht="15.75" customHeight="1" thickBot="1">
      <c r="A601" s="10"/>
      <c r="B601" s="10"/>
      <c r="C601" s="12"/>
      <c r="D601" s="12"/>
      <c r="E601" s="12"/>
      <c r="F601" s="12"/>
      <c r="G601" s="12"/>
    </row>
    <row r="602" spans="1:7" ht="15.75" customHeight="1" thickBot="1">
      <c r="A602" s="10"/>
      <c r="B602" s="10"/>
      <c r="C602" s="12"/>
      <c r="D602" s="12"/>
      <c r="E602" s="12"/>
      <c r="F602" s="12"/>
      <c r="G602" s="12"/>
    </row>
    <row r="603" spans="1:7" ht="15.75" customHeight="1" thickBot="1">
      <c r="A603" s="10"/>
      <c r="B603" s="10"/>
      <c r="C603" s="12"/>
      <c r="D603" s="12"/>
      <c r="E603" s="12"/>
      <c r="F603" s="12"/>
      <c r="G603" s="12"/>
    </row>
    <row r="604" spans="1:7" ht="15.75" customHeight="1" thickBot="1">
      <c r="A604" s="10"/>
      <c r="B604" s="10"/>
      <c r="C604" s="12"/>
      <c r="D604" s="12"/>
      <c r="E604" s="12"/>
      <c r="F604" s="12"/>
      <c r="G604" s="12"/>
    </row>
    <row r="605" spans="1:7" ht="15.75" customHeight="1" thickBot="1">
      <c r="A605" s="10"/>
      <c r="B605" s="10"/>
      <c r="C605" s="12"/>
      <c r="D605" s="12"/>
      <c r="E605" s="12"/>
      <c r="F605" s="12"/>
      <c r="G605" s="12"/>
    </row>
    <row r="606" spans="1:7" ht="15.75" customHeight="1" thickBot="1">
      <c r="A606" s="10"/>
      <c r="B606" s="10"/>
      <c r="C606" s="12"/>
      <c r="D606" s="12"/>
      <c r="E606" s="12"/>
      <c r="F606" s="12"/>
      <c r="G606" s="12"/>
    </row>
    <row r="607" spans="1:7" ht="15.75" customHeight="1" thickBot="1">
      <c r="A607" s="10"/>
      <c r="B607" s="10"/>
      <c r="C607" s="12"/>
      <c r="D607" s="12"/>
      <c r="E607" s="12"/>
      <c r="F607" s="12"/>
      <c r="G607" s="12"/>
    </row>
    <row r="608" spans="1:7" ht="15.75" customHeight="1" thickBot="1">
      <c r="A608" s="10"/>
      <c r="B608" s="10"/>
      <c r="C608" s="12"/>
      <c r="D608" s="12"/>
      <c r="E608" s="12"/>
      <c r="F608" s="12"/>
      <c r="G608" s="12"/>
    </row>
    <row r="609" spans="1:7" ht="15.75" customHeight="1" thickBot="1">
      <c r="A609" s="10"/>
      <c r="B609" s="10"/>
      <c r="C609" s="12"/>
      <c r="D609" s="12"/>
      <c r="E609" s="12"/>
      <c r="F609" s="12"/>
      <c r="G609" s="12"/>
    </row>
    <row r="610" spans="1:7" ht="15.75" customHeight="1" thickBot="1">
      <c r="A610" s="10"/>
      <c r="B610" s="10"/>
      <c r="C610" s="12"/>
      <c r="D610" s="12"/>
      <c r="E610" s="12"/>
      <c r="F610" s="12"/>
      <c r="G610" s="12"/>
    </row>
    <row r="611" spans="1:7" ht="15.75" customHeight="1" thickBot="1">
      <c r="A611" s="10"/>
      <c r="B611" s="10"/>
      <c r="C611" s="12"/>
      <c r="D611" s="12"/>
      <c r="E611" s="12"/>
      <c r="F611" s="12"/>
      <c r="G611" s="12"/>
    </row>
    <row r="612" spans="1:7" ht="15.75" customHeight="1" thickBot="1">
      <c r="A612" s="10"/>
      <c r="B612" s="10"/>
      <c r="C612" s="12"/>
      <c r="D612" s="12"/>
      <c r="E612" s="12"/>
      <c r="F612" s="12"/>
      <c r="G612" s="12"/>
    </row>
    <row r="613" spans="1:7" ht="15.75" customHeight="1" thickBot="1">
      <c r="A613" s="10"/>
      <c r="B613" s="10"/>
      <c r="C613" s="12"/>
      <c r="D613" s="12"/>
      <c r="E613" s="12"/>
      <c r="F613" s="12"/>
      <c r="G613" s="12"/>
    </row>
    <row r="614" spans="1:7" ht="15.75" customHeight="1" thickBot="1">
      <c r="A614" s="10"/>
      <c r="B614" s="10"/>
      <c r="C614" s="12"/>
      <c r="D614" s="12"/>
      <c r="E614" s="12"/>
      <c r="F614" s="12"/>
      <c r="G614" s="12"/>
    </row>
    <row r="615" spans="1:7" ht="15.75" customHeight="1" thickBot="1">
      <c r="A615" s="10"/>
      <c r="B615" s="10"/>
      <c r="C615" s="12"/>
      <c r="D615" s="12"/>
      <c r="E615" s="12"/>
      <c r="F615" s="12"/>
      <c r="G615" s="12"/>
    </row>
    <row r="616" spans="1:7" ht="15.75" customHeight="1" thickBot="1">
      <c r="A616" s="10"/>
      <c r="B616" s="10"/>
      <c r="C616" s="12"/>
      <c r="D616" s="12"/>
      <c r="E616" s="12"/>
      <c r="F616" s="12"/>
      <c r="G616" s="12"/>
    </row>
    <row r="617" spans="1:7" ht="15.75" customHeight="1" thickBot="1">
      <c r="A617" s="10"/>
      <c r="B617" s="10"/>
      <c r="C617" s="12"/>
      <c r="D617" s="12"/>
      <c r="E617" s="12"/>
      <c r="F617" s="12"/>
      <c r="G617" s="12"/>
    </row>
    <row r="618" spans="1:7" ht="15.75" customHeight="1" thickBot="1">
      <c r="A618" s="10"/>
      <c r="B618" s="10"/>
      <c r="C618" s="12"/>
      <c r="D618" s="12"/>
      <c r="E618" s="12"/>
      <c r="F618" s="12"/>
      <c r="G618" s="12"/>
    </row>
    <row r="619" spans="1:7" ht="15.75" customHeight="1" thickBot="1">
      <c r="A619" s="10"/>
      <c r="B619" s="10"/>
      <c r="C619" s="12"/>
      <c r="D619" s="12"/>
      <c r="E619" s="12"/>
      <c r="F619" s="12"/>
      <c r="G619" s="12"/>
    </row>
    <row r="620" spans="1:7" ht="15.75" customHeight="1" thickBot="1">
      <c r="A620" s="10"/>
      <c r="B620" s="10"/>
      <c r="C620" s="12"/>
      <c r="D620" s="12"/>
      <c r="E620" s="12"/>
      <c r="F620" s="12"/>
      <c r="G620" s="12"/>
    </row>
    <row r="621" spans="1:7" ht="15.75" customHeight="1" thickBot="1">
      <c r="A621" s="10"/>
      <c r="B621" s="10"/>
      <c r="C621" s="12"/>
      <c r="D621" s="12"/>
      <c r="E621" s="12"/>
      <c r="F621" s="12"/>
      <c r="G621" s="12"/>
    </row>
    <row r="622" spans="1:7" ht="15.75" customHeight="1" thickBot="1">
      <c r="A622" s="10"/>
      <c r="B622" s="10"/>
      <c r="C622" s="12"/>
      <c r="D622" s="12"/>
      <c r="E622" s="12"/>
      <c r="F622" s="12"/>
      <c r="G622" s="12"/>
    </row>
    <row r="623" spans="1:7" ht="15.75" customHeight="1" thickBot="1">
      <c r="A623" s="10"/>
      <c r="B623" s="10"/>
      <c r="C623" s="12"/>
      <c r="D623" s="12"/>
      <c r="E623" s="12"/>
      <c r="F623" s="12"/>
      <c r="G623" s="12"/>
    </row>
    <row r="624" spans="1:7" ht="15.75" customHeight="1" thickBot="1">
      <c r="A624" s="10"/>
      <c r="B624" s="10"/>
      <c r="C624" s="12"/>
      <c r="D624" s="12"/>
      <c r="E624" s="12"/>
      <c r="F624" s="12"/>
      <c r="G624" s="12"/>
    </row>
    <row r="625" spans="1:7" ht="15.75" customHeight="1" thickBot="1">
      <c r="A625" s="10"/>
      <c r="B625" s="10"/>
      <c r="C625" s="12"/>
      <c r="D625" s="12"/>
      <c r="E625" s="12"/>
      <c r="F625" s="12"/>
      <c r="G625" s="12"/>
    </row>
    <row r="626" spans="1:7" ht="15.75" customHeight="1" thickBot="1">
      <c r="A626" s="10"/>
      <c r="B626" s="10"/>
      <c r="C626" s="12"/>
      <c r="D626" s="12"/>
      <c r="E626" s="12"/>
      <c r="F626" s="12"/>
      <c r="G626" s="12"/>
    </row>
    <row r="627" spans="1:7" ht="15.75" customHeight="1" thickBot="1">
      <c r="A627" s="10"/>
      <c r="B627" s="10"/>
      <c r="C627" s="12"/>
      <c r="D627" s="12"/>
      <c r="E627" s="12"/>
      <c r="F627" s="12"/>
      <c r="G627" s="12"/>
    </row>
    <row r="628" spans="1:7" ht="15.75" customHeight="1" thickBot="1">
      <c r="A628" s="10"/>
      <c r="B628" s="10"/>
      <c r="C628" s="12"/>
      <c r="D628" s="12"/>
      <c r="E628" s="12"/>
      <c r="F628" s="12"/>
      <c r="G628" s="12"/>
    </row>
    <row r="629" spans="1:7" ht="15.75" customHeight="1" thickBot="1">
      <c r="A629" s="10"/>
      <c r="B629" s="10"/>
      <c r="C629" s="12"/>
      <c r="D629" s="12"/>
      <c r="E629" s="12"/>
      <c r="F629" s="12"/>
      <c r="G629" s="12"/>
    </row>
    <row r="630" spans="1:7" ht="15.75" customHeight="1" thickBot="1">
      <c r="A630" s="10"/>
      <c r="B630" s="10"/>
      <c r="C630" s="12"/>
      <c r="D630" s="12"/>
      <c r="E630" s="12"/>
      <c r="F630" s="12"/>
      <c r="G630" s="12"/>
    </row>
    <row r="631" spans="1:7" ht="15.75" customHeight="1" thickBot="1">
      <c r="A631" s="10"/>
      <c r="B631" s="10"/>
      <c r="C631" s="12"/>
      <c r="D631" s="12"/>
      <c r="E631" s="12"/>
      <c r="F631" s="12"/>
      <c r="G631" s="12"/>
    </row>
    <row r="632" spans="1:7" ht="15.75" customHeight="1" thickBot="1">
      <c r="A632" s="10"/>
      <c r="B632" s="10"/>
      <c r="C632" s="12"/>
      <c r="D632" s="12"/>
      <c r="E632" s="12"/>
      <c r="F632" s="12"/>
      <c r="G632" s="12"/>
    </row>
    <row r="633" spans="1:7" ht="15.75" customHeight="1" thickBot="1">
      <c r="A633" s="10"/>
      <c r="B633" s="10"/>
      <c r="C633" s="12"/>
      <c r="D633" s="12"/>
      <c r="E633" s="12"/>
      <c r="F633" s="12"/>
      <c r="G633" s="12"/>
    </row>
    <row r="634" spans="1:7" ht="15.75" customHeight="1" thickBot="1">
      <c r="A634" s="10"/>
      <c r="B634" s="10"/>
      <c r="C634" s="12"/>
      <c r="D634" s="12"/>
      <c r="E634" s="12"/>
      <c r="F634" s="12"/>
      <c r="G634" s="12"/>
    </row>
    <row r="635" spans="1:7" ht="15.75" customHeight="1" thickBot="1">
      <c r="A635" s="10"/>
      <c r="B635" s="10"/>
      <c r="C635" s="12"/>
      <c r="D635" s="12"/>
      <c r="E635" s="12"/>
      <c r="F635" s="12"/>
      <c r="G635" s="12"/>
    </row>
    <row r="636" spans="1:7" ht="15.75" customHeight="1" thickBot="1">
      <c r="A636" s="10"/>
      <c r="B636" s="10"/>
      <c r="C636" s="12"/>
      <c r="D636" s="12"/>
      <c r="E636" s="12"/>
      <c r="F636" s="12"/>
      <c r="G636" s="12"/>
    </row>
    <row r="637" spans="1:7" ht="15.75" customHeight="1" thickBot="1">
      <c r="A637" s="10"/>
      <c r="B637" s="10"/>
      <c r="C637" s="12"/>
      <c r="D637" s="12"/>
      <c r="E637" s="12"/>
      <c r="F637" s="12"/>
      <c r="G637" s="12"/>
    </row>
    <row r="638" spans="1:7" ht="15.75" customHeight="1" thickBot="1">
      <c r="A638" s="10"/>
      <c r="B638" s="10"/>
      <c r="C638" s="12"/>
      <c r="D638" s="12"/>
      <c r="E638" s="12"/>
      <c r="F638" s="12"/>
      <c r="G638" s="12"/>
    </row>
    <row r="639" spans="1:7" ht="15.75" customHeight="1" thickBot="1">
      <c r="A639" s="10"/>
      <c r="B639" s="10"/>
      <c r="C639" s="12"/>
      <c r="D639" s="12"/>
      <c r="E639" s="12"/>
      <c r="F639" s="12"/>
      <c r="G639" s="12"/>
    </row>
    <row r="640" spans="1:7" ht="15.75" customHeight="1" thickBot="1">
      <c r="A640" s="10"/>
      <c r="B640" s="10"/>
      <c r="C640" s="12"/>
      <c r="D640" s="12"/>
      <c r="E640" s="12"/>
      <c r="F640" s="12"/>
      <c r="G640" s="12"/>
    </row>
    <row r="641" spans="1:7" ht="15.75" customHeight="1" thickBot="1">
      <c r="A641" s="10"/>
      <c r="B641" s="10"/>
      <c r="C641" s="12"/>
      <c r="D641" s="12"/>
      <c r="E641" s="12"/>
      <c r="F641" s="12"/>
      <c r="G641" s="12"/>
    </row>
    <row r="642" spans="1:7" ht="15.75" customHeight="1" thickBot="1">
      <c r="A642" s="10"/>
      <c r="B642" s="10"/>
      <c r="C642" s="12"/>
      <c r="D642" s="12"/>
      <c r="E642" s="12"/>
      <c r="F642" s="12"/>
      <c r="G642" s="12"/>
    </row>
    <row r="643" spans="1:7" ht="15.75" customHeight="1" thickBot="1">
      <c r="A643" s="10"/>
      <c r="B643" s="10"/>
      <c r="C643" s="12"/>
      <c r="D643" s="12"/>
      <c r="E643" s="12"/>
      <c r="F643" s="12"/>
      <c r="G643" s="12"/>
    </row>
    <row r="644" spans="1:7" ht="15.75" customHeight="1" thickBot="1">
      <c r="A644" s="10"/>
      <c r="B644" s="10"/>
      <c r="C644" s="12"/>
      <c r="D644" s="12"/>
      <c r="E644" s="12"/>
      <c r="F644" s="12"/>
      <c r="G644" s="12"/>
    </row>
    <row r="645" spans="1:7" ht="15.75" customHeight="1" thickBot="1">
      <c r="A645" s="10"/>
      <c r="B645" s="10"/>
      <c r="C645" s="12"/>
      <c r="D645" s="12"/>
      <c r="E645" s="12"/>
      <c r="F645" s="12"/>
      <c r="G645" s="12"/>
    </row>
    <row r="646" spans="1:7" ht="15.75" customHeight="1" thickBot="1">
      <c r="A646" s="10"/>
      <c r="B646" s="10"/>
      <c r="C646" s="12"/>
      <c r="D646" s="12"/>
      <c r="E646" s="12"/>
      <c r="F646" s="12"/>
      <c r="G646" s="12"/>
    </row>
    <row r="647" spans="1:7" ht="15.75" customHeight="1" thickBot="1">
      <c r="A647" s="10"/>
      <c r="B647" s="10"/>
      <c r="C647" s="12"/>
      <c r="D647" s="12"/>
      <c r="E647" s="12"/>
      <c r="F647" s="12"/>
      <c r="G647" s="12"/>
    </row>
    <row r="648" spans="1:7" ht="15.75" customHeight="1" thickBot="1">
      <c r="A648" s="10"/>
      <c r="B648" s="10"/>
      <c r="C648" s="12"/>
      <c r="D648" s="12"/>
      <c r="E648" s="12"/>
      <c r="F648" s="12"/>
      <c r="G648" s="12"/>
    </row>
    <row r="649" spans="1:7" ht="15.75" customHeight="1" thickBot="1">
      <c r="A649" s="10"/>
      <c r="B649" s="10"/>
      <c r="C649" s="12"/>
      <c r="D649" s="12"/>
      <c r="E649" s="12"/>
      <c r="F649" s="12"/>
      <c r="G649" s="12"/>
    </row>
    <row r="650" spans="1:7" ht="15.75" customHeight="1" thickBot="1">
      <c r="A650" s="10"/>
      <c r="B650" s="10"/>
      <c r="C650" s="12"/>
      <c r="D650" s="12"/>
      <c r="E650" s="12"/>
      <c r="F650" s="12"/>
      <c r="G650" s="12"/>
    </row>
    <row r="651" spans="1:7" ht="15.75" customHeight="1" thickBot="1">
      <c r="A651" s="10"/>
      <c r="B651" s="10"/>
      <c r="C651" s="12"/>
      <c r="D651" s="12"/>
      <c r="E651" s="12"/>
      <c r="F651" s="12"/>
      <c r="G651" s="12"/>
    </row>
    <row r="652" spans="1:7" ht="15.75" customHeight="1" thickBot="1">
      <c r="A652" s="10"/>
      <c r="B652" s="10"/>
      <c r="C652" s="12"/>
      <c r="D652" s="12"/>
      <c r="E652" s="12"/>
      <c r="F652" s="12"/>
      <c r="G652" s="12"/>
    </row>
    <row r="653" spans="1:7" ht="15.75" customHeight="1" thickBot="1">
      <c r="A653" s="10"/>
      <c r="B653" s="10"/>
      <c r="C653" s="12"/>
      <c r="D653" s="12"/>
      <c r="E653" s="12"/>
      <c r="F653" s="12"/>
      <c r="G653" s="12"/>
    </row>
    <row r="654" spans="1:7" ht="15.75" customHeight="1" thickBot="1">
      <c r="A654" s="10"/>
      <c r="B654" s="10"/>
      <c r="C654" s="12"/>
      <c r="D654" s="12"/>
      <c r="E654" s="12"/>
      <c r="F654" s="12"/>
      <c r="G654" s="12"/>
    </row>
    <row r="655" spans="1:7" ht="15.75" customHeight="1" thickBot="1">
      <c r="A655" s="10"/>
      <c r="B655" s="10"/>
      <c r="C655" s="12"/>
      <c r="D655" s="12"/>
      <c r="E655" s="12"/>
      <c r="F655" s="12"/>
      <c r="G655" s="12"/>
    </row>
    <row r="656" spans="1:7" ht="15.75" customHeight="1" thickBot="1">
      <c r="A656" s="10"/>
      <c r="B656" s="10"/>
      <c r="C656" s="12"/>
      <c r="D656" s="12"/>
      <c r="E656" s="12"/>
      <c r="F656" s="12"/>
      <c r="G656" s="12"/>
    </row>
    <row r="657" spans="1:7" ht="15.75" customHeight="1" thickBot="1">
      <c r="A657" s="10"/>
      <c r="B657" s="10"/>
      <c r="C657" s="12"/>
      <c r="D657" s="12"/>
      <c r="E657" s="12"/>
      <c r="F657" s="12"/>
      <c r="G657" s="12"/>
    </row>
    <row r="658" spans="1:7" ht="15.75" customHeight="1" thickBot="1">
      <c r="A658" s="10"/>
      <c r="B658" s="10"/>
      <c r="C658" s="12"/>
      <c r="D658" s="12"/>
      <c r="E658" s="12"/>
      <c r="F658" s="12"/>
      <c r="G658" s="12"/>
    </row>
    <row r="659" spans="1:7" ht="15.75" customHeight="1" thickBot="1">
      <c r="A659" s="10"/>
      <c r="B659" s="10"/>
      <c r="C659" s="12"/>
      <c r="D659" s="12"/>
      <c r="E659" s="12"/>
      <c r="F659" s="12"/>
      <c r="G659" s="12"/>
    </row>
    <row r="660" spans="1:7" ht="15.75" customHeight="1" thickBot="1">
      <c r="A660" s="10"/>
      <c r="B660" s="10"/>
      <c r="C660" s="12"/>
      <c r="D660" s="12"/>
      <c r="E660" s="12"/>
      <c r="F660" s="12"/>
      <c r="G660" s="12"/>
    </row>
    <row r="661" spans="1:7" ht="15.75" customHeight="1" thickBot="1">
      <c r="A661" s="10"/>
      <c r="B661" s="10"/>
      <c r="C661" s="12"/>
      <c r="D661" s="12"/>
      <c r="E661" s="12"/>
      <c r="F661" s="12"/>
      <c r="G661" s="12"/>
    </row>
    <row r="662" spans="1:7" ht="15.75" customHeight="1" thickBot="1">
      <c r="A662" s="10"/>
      <c r="B662" s="10"/>
      <c r="C662" s="12"/>
      <c r="D662" s="12"/>
      <c r="E662" s="12"/>
      <c r="F662" s="12"/>
      <c r="G662" s="12"/>
    </row>
    <row r="663" spans="1:7" ht="15.75" customHeight="1" thickBot="1">
      <c r="A663" s="10"/>
      <c r="B663" s="10"/>
      <c r="C663" s="12"/>
      <c r="D663" s="12"/>
      <c r="E663" s="12"/>
      <c r="F663" s="12"/>
      <c r="G663" s="12"/>
    </row>
    <row r="664" spans="1:7" ht="15.75" customHeight="1" thickBot="1">
      <c r="A664" s="10"/>
      <c r="B664" s="10"/>
      <c r="C664" s="12"/>
      <c r="D664" s="12"/>
      <c r="E664" s="12"/>
      <c r="F664" s="12"/>
      <c r="G664" s="12"/>
    </row>
    <row r="665" spans="1:7" ht="15.75" customHeight="1" thickBot="1">
      <c r="A665" s="10"/>
      <c r="B665" s="10"/>
      <c r="C665" s="12"/>
      <c r="D665" s="12"/>
      <c r="E665" s="12"/>
      <c r="F665" s="12"/>
      <c r="G665" s="12"/>
    </row>
    <row r="666" spans="1:7" ht="15.75" customHeight="1" thickBot="1">
      <c r="A666" s="10"/>
      <c r="B666" s="10"/>
      <c r="C666" s="12"/>
      <c r="D666" s="12"/>
      <c r="E666" s="12"/>
      <c r="F666" s="12"/>
      <c r="G666" s="12"/>
    </row>
    <row r="667" spans="1:7" ht="15.75" customHeight="1" thickBot="1">
      <c r="A667" s="10"/>
      <c r="B667" s="10"/>
      <c r="C667" s="12"/>
      <c r="D667" s="12"/>
      <c r="E667" s="12"/>
      <c r="F667" s="12"/>
      <c r="G667" s="12"/>
    </row>
    <row r="668" spans="1:7" ht="15.75" customHeight="1" thickBot="1">
      <c r="A668" s="10"/>
      <c r="B668" s="10"/>
      <c r="C668" s="12"/>
      <c r="D668" s="12"/>
      <c r="E668" s="12"/>
      <c r="F668" s="12"/>
      <c r="G668" s="12"/>
    </row>
    <row r="669" spans="1:7" ht="15.75" customHeight="1" thickBot="1">
      <c r="A669" s="10"/>
      <c r="B669" s="10"/>
      <c r="C669" s="12"/>
      <c r="D669" s="12"/>
      <c r="E669" s="12"/>
      <c r="F669" s="12"/>
      <c r="G669" s="12"/>
    </row>
    <row r="670" spans="1:7" ht="15.75" customHeight="1" thickBot="1">
      <c r="A670" s="10"/>
      <c r="B670" s="10"/>
      <c r="C670" s="12"/>
      <c r="D670" s="12"/>
      <c r="E670" s="12"/>
      <c r="F670" s="12"/>
      <c r="G670" s="12"/>
    </row>
    <row r="671" spans="1:7" ht="15.75" customHeight="1" thickBot="1">
      <c r="A671" s="10"/>
      <c r="B671" s="10"/>
      <c r="C671" s="12"/>
      <c r="D671" s="12"/>
      <c r="E671" s="12"/>
      <c r="F671" s="12"/>
      <c r="G671" s="12"/>
    </row>
    <row r="672" spans="1:7" ht="15.75" customHeight="1" thickBot="1">
      <c r="A672" s="10"/>
      <c r="B672" s="10"/>
      <c r="C672" s="12"/>
      <c r="D672" s="12"/>
      <c r="E672" s="12"/>
      <c r="F672" s="12"/>
      <c r="G672" s="12"/>
    </row>
    <row r="673" spans="1:7" ht="15.75" customHeight="1" thickBot="1">
      <c r="A673" s="10"/>
      <c r="B673" s="10"/>
      <c r="C673" s="12"/>
      <c r="D673" s="12"/>
      <c r="E673" s="12"/>
      <c r="F673" s="12"/>
      <c r="G673" s="12"/>
    </row>
    <row r="674" spans="1:7" ht="15.75" customHeight="1" thickBot="1">
      <c r="A674" s="10"/>
      <c r="B674" s="10"/>
      <c r="C674" s="12"/>
      <c r="D674" s="12"/>
      <c r="E674" s="12"/>
      <c r="F674" s="12"/>
      <c r="G674" s="12"/>
    </row>
    <row r="675" spans="1:7" ht="15.75" customHeight="1" thickBot="1">
      <c r="A675" s="10"/>
      <c r="B675" s="10"/>
      <c r="C675" s="12"/>
      <c r="D675" s="12"/>
      <c r="E675" s="12"/>
      <c r="F675" s="12"/>
      <c r="G675" s="12"/>
    </row>
    <row r="676" spans="1:7" ht="15.75" customHeight="1" thickBot="1">
      <c r="A676" s="10"/>
      <c r="B676" s="10"/>
      <c r="C676" s="12"/>
      <c r="D676" s="12"/>
      <c r="E676" s="12"/>
      <c r="F676" s="12"/>
      <c r="G676" s="12"/>
    </row>
    <row r="677" spans="1:7" ht="15.75" customHeight="1" thickBot="1">
      <c r="A677" s="10"/>
      <c r="B677" s="10"/>
      <c r="C677" s="12"/>
      <c r="D677" s="12"/>
      <c r="E677" s="12"/>
      <c r="F677" s="12"/>
      <c r="G677" s="12"/>
    </row>
    <row r="678" spans="1:7" ht="15.75" customHeight="1" thickBot="1">
      <c r="A678" s="10"/>
      <c r="B678" s="10"/>
      <c r="C678" s="12"/>
      <c r="D678" s="12"/>
      <c r="E678" s="12"/>
      <c r="F678" s="12"/>
      <c r="G678" s="12"/>
    </row>
    <row r="679" spans="1:7" ht="15.75" customHeight="1" thickBot="1">
      <c r="A679" s="10"/>
      <c r="B679" s="10"/>
      <c r="C679" s="12"/>
      <c r="D679" s="12"/>
      <c r="E679" s="12"/>
      <c r="F679" s="12"/>
      <c r="G679" s="12"/>
    </row>
    <row r="680" spans="1:7" ht="15.75" customHeight="1" thickBot="1">
      <c r="A680" s="10"/>
      <c r="B680" s="10"/>
      <c r="C680" s="12"/>
      <c r="D680" s="12"/>
      <c r="E680" s="12"/>
      <c r="F680" s="12"/>
      <c r="G680" s="12"/>
    </row>
    <row r="681" spans="1:7" ht="15.75" customHeight="1" thickBot="1">
      <c r="A681" s="10"/>
      <c r="B681" s="10"/>
      <c r="C681" s="12"/>
      <c r="D681" s="12"/>
      <c r="E681" s="12"/>
      <c r="F681" s="12"/>
      <c r="G681" s="12"/>
    </row>
    <row r="682" spans="1:7" ht="15.75" customHeight="1" thickBot="1">
      <c r="A682" s="10"/>
      <c r="B682" s="10"/>
      <c r="C682" s="12"/>
      <c r="D682" s="12"/>
      <c r="E682" s="12"/>
      <c r="F682" s="12"/>
      <c r="G682" s="12"/>
    </row>
    <row r="683" spans="1:7" ht="15.75" customHeight="1" thickBot="1">
      <c r="A683" s="10"/>
      <c r="B683" s="10"/>
      <c r="C683" s="12"/>
      <c r="D683" s="12"/>
      <c r="E683" s="12"/>
      <c r="F683" s="12"/>
      <c r="G683" s="12"/>
    </row>
    <row r="684" spans="1:7" ht="15.75" customHeight="1" thickBot="1">
      <c r="A684" s="10"/>
      <c r="B684" s="10"/>
      <c r="C684" s="12"/>
      <c r="D684" s="12"/>
      <c r="E684" s="12"/>
      <c r="F684" s="12"/>
      <c r="G684" s="12"/>
    </row>
    <row r="685" spans="1:7" ht="15.75" customHeight="1" thickBot="1">
      <c r="A685" s="10"/>
      <c r="B685" s="10"/>
      <c r="C685" s="12"/>
      <c r="D685" s="12"/>
      <c r="E685" s="12"/>
      <c r="F685" s="12"/>
      <c r="G685" s="12"/>
    </row>
    <row r="686" spans="1:7" ht="15.75" customHeight="1" thickBot="1">
      <c r="A686" s="10"/>
      <c r="B686" s="10"/>
      <c r="C686" s="12"/>
      <c r="D686" s="12"/>
      <c r="E686" s="12"/>
      <c r="F686" s="12"/>
      <c r="G686" s="12"/>
    </row>
    <row r="687" spans="1:7" ht="15.75" customHeight="1" thickBot="1">
      <c r="A687" s="10"/>
      <c r="B687" s="10"/>
      <c r="C687" s="12"/>
      <c r="D687" s="12"/>
      <c r="E687" s="12"/>
      <c r="F687" s="12"/>
      <c r="G687" s="12"/>
    </row>
    <row r="688" spans="1:7" ht="15.75" customHeight="1" thickBot="1">
      <c r="A688" s="10"/>
      <c r="B688" s="10"/>
      <c r="C688" s="12"/>
      <c r="D688" s="12"/>
      <c r="E688" s="12"/>
      <c r="F688" s="12"/>
      <c r="G688" s="12"/>
    </row>
    <row r="689" spans="1:7" ht="15.75" customHeight="1" thickBot="1">
      <c r="A689" s="10"/>
      <c r="B689" s="10"/>
      <c r="C689" s="12"/>
      <c r="D689" s="12"/>
      <c r="E689" s="12"/>
      <c r="F689" s="12"/>
      <c r="G689" s="12"/>
    </row>
    <row r="690" spans="1:7" ht="15.75" customHeight="1" thickBot="1">
      <c r="A690" s="10"/>
      <c r="B690" s="10"/>
      <c r="C690" s="12"/>
      <c r="D690" s="12"/>
      <c r="E690" s="12"/>
      <c r="F690" s="12"/>
      <c r="G690" s="12"/>
    </row>
    <row r="691" spans="1:7" ht="15.75" customHeight="1" thickBot="1">
      <c r="A691" s="10"/>
      <c r="B691" s="10"/>
      <c r="C691" s="12"/>
      <c r="D691" s="12"/>
      <c r="E691" s="12"/>
      <c r="F691" s="12"/>
      <c r="G691" s="12"/>
    </row>
    <row r="692" spans="1:7" ht="15.75" customHeight="1" thickBot="1">
      <c r="A692" s="10"/>
      <c r="B692" s="10"/>
      <c r="C692" s="12"/>
      <c r="D692" s="12"/>
      <c r="E692" s="12"/>
      <c r="F692" s="12"/>
      <c r="G692" s="12"/>
    </row>
    <row r="693" spans="1:7" ht="15.75" customHeight="1" thickBot="1">
      <c r="A693" s="10"/>
      <c r="B693" s="10"/>
      <c r="C693" s="12"/>
      <c r="D693" s="12"/>
      <c r="E693" s="12"/>
      <c r="F693" s="12"/>
      <c r="G693" s="12"/>
    </row>
    <row r="694" spans="1:7" ht="15.75" customHeight="1" thickBot="1">
      <c r="A694" s="10"/>
      <c r="B694" s="10"/>
      <c r="C694" s="12"/>
      <c r="D694" s="12"/>
      <c r="E694" s="12"/>
      <c r="F694" s="12"/>
      <c r="G694" s="12"/>
    </row>
    <row r="695" spans="1:7" ht="15.75" customHeight="1" thickBot="1">
      <c r="A695" s="10"/>
      <c r="B695" s="10"/>
      <c r="C695" s="12"/>
      <c r="D695" s="12"/>
      <c r="E695" s="12"/>
      <c r="F695" s="12"/>
      <c r="G695" s="12"/>
    </row>
    <row r="696" spans="1:7" ht="15.75" customHeight="1" thickBot="1">
      <c r="A696" s="10"/>
      <c r="B696" s="10"/>
      <c r="C696" s="12"/>
      <c r="D696" s="12"/>
      <c r="E696" s="12"/>
      <c r="F696" s="12"/>
      <c r="G696" s="12"/>
    </row>
    <row r="697" spans="1:7" ht="15.75" customHeight="1" thickBot="1">
      <c r="A697" s="10"/>
      <c r="B697" s="10"/>
      <c r="C697" s="12"/>
      <c r="D697" s="12"/>
      <c r="E697" s="12"/>
      <c r="F697" s="12"/>
      <c r="G697" s="12"/>
    </row>
    <row r="698" spans="1:7" ht="15.75" customHeight="1" thickBot="1">
      <c r="A698" s="10"/>
      <c r="B698" s="10"/>
      <c r="C698" s="12"/>
      <c r="D698" s="12"/>
      <c r="E698" s="12"/>
      <c r="F698" s="12"/>
      <c r="G698" s="12"/>
    </row>
    <row r="699" spans="1:7" ht="15.75" customHeight="1" thickBot="1">
      <c r="A699" s="10"/>
      <c r="B699" s="10"/>
      <c r="C699" s="12"/>
      <c r="D699" s="12"/>
      <c r="E699" s="12"/>
      <c r="F699" s="12"/>
      <c r="G699" s="12"/>
    </row>
    <row r="700" spans="1:7" ht="15.75" customHeight="1" thickBot="1">
      <c r="A700" s="10"/>
      <c r="B700" s="10"/>
      <c r="C700" s="12"/>
      <c r="D700" s="12"/>
      <c r="E700" s="12"/>
      <c r="F700" s="12"/>
      <c r="G700" s="12"/>
    </row>
    <row r="701" spans="1:7" ht="15.75" customHeight="1" thickBot="1">
      <c r="A701" s="10"/>
      <c r="B701" s="10"/>
      <c r="C701" s="12"/>
      <c r="D701" s="12"/>
      <c r="E701" s="12"/>
      <c r="F701" s="12"/>
      <c r="G701" s="12"/>
    </row>
    <row r="702" spans="1:7" ht="15.75" customHeight="1" thickBot="1">
      <c r="A702" s="10"/>
      <c r="B702" s="10"/>
      <c r="C702" s="12"/>
      <c r="D702" s="12"/>
      <c r="E702" s="12"/>
      <c r="F702" s="12"/>
      <c r="G702" s="12"/>
    </row>
    <row r="703" spans="1:7" ht="15.75" customHeight="1" thickBot="1">
      <c r="A703" s="10"/>
      <c r="B703" s="10"/>
      <c r="C703" s="12"/>
      <c r="D703" s="12"/>
      <c r="E703" s="12"/>
      <c r="F703" s="12"/>
      <c r="G703" s="12"/>
    </row>
    <row r="704" spans="1:7" ht="15.75" customHeight="1" thickBot="1">
      <c r="A704" s="10"/>
      <c r="B704" s="10"/>
      <c r="C704" s="12"/>
      <c r="D704" s="12"/>
      <c r="E704" s="12"/>
      <c r="F704" s="12"/>
      <c r="G704" s="12"/>
    </row>
    <row r="705" spans="1:7" ht="15.75" customHeight="1" thickBot="1">
      <c r="A705" s="10"/>
      <c r="B705" s="10"/>
      <c r="C705" s="12"/>
      <c r="D705" s="12"/>
      <c r="E705" s="12"/>
      <c r="F705" s="12"/>
      <c r="G705" s="12"/>
    </row>
    <row r="706" spans="1:7" ht="15.75" customHeight="1" thickBot="1">
      <c r="A706" s="10"/>
      <c r="B706" s="10"/>
      <c r="C706" s="12"/>
      <c r="D706" s="12"/>
      <c r="E706" s="12"/>
      <c r="F706" s="12"/>
      <c r="G706" s="12"/>
    </row>
    <row r="707" spans="1:7" ht="15.75" customHeight="1" thickBot="1">
      <c r="A707" s="10"/>
      <c r="B707" s="10"/>
      <c r="C707" s="12"/>
      <c r="D707" s="12"/>
      <c r="E707" s="12"/>
      <c r="F707" s="12"/>
      <c r="G707" s="12"/>
    </row>
    <row r="708" spans="1:7" ht="15.75" customHeight="1" thickBot="1">
      <c r="A708" s="10"/>
      <c r="B708" s="10"/>
      <c r="C708" s="12"/>
      <c r="D708" s="12"/>
      <c r="E708" s="12"/>
      <c r="F708" s="12"/>
      <c r="G708" s="12"/>
    </row>
    <row r="709" spans="1:7" ht="15.75" customHeight="1" thickBot="1">
      <c r="A709" s="10"/>
      <c r="B709" s="10"/>
      <c r="C709" s="12"/>
      <c r="D709" s="12"/>
      <c r="E709" s="12"/>
      <c r="F709" s="12"/>
      <c r="G709" s="12"/>
    </row>
    <row r="710" spans="1:7" ht="15.75" customHeight="1" thickBot="1">
      <c r="A710" s="10"/>
      <c r="B710" s="10"/>
      <c r="C710" s="12"/>
      <c r="D710" s="12"/>
      <c r="E710" s="12"/>
      <c r="F710" s="12"/>
      <c r="G710" s="12"/>
    </row>
    <row r="711" spans="1:7" ht="15.75" customHeight="1" thickBot="1">
      <c r="A711" s="10"/>
      <c r="B711" s="10"/>
      <c r="C711" s="12"/>
      <c r="D711" s="12"/>
      <c r="E711" s="12"/>
      <c r="F711" s="12"/>
      <c r="G711" s="12"/>
    </row>
    <row r="712" spans="1:7" ht="15.75" customHeight="1" thickBot="1">
      <c r="A712" s="10"/>
      <c r="B712" s="10"/>
      <c r="C712" s="12"/>
      <c r="D712" s="12"/>
      <c r="E712" s="12"/>
      <c r="F712" s="12"/>
      <c r="G712" s="12"/>
    </row>
    <row r="713" spans="1:7" ht="15.75" customHeight="1" thickBot="1">
      <c r="A713" s="10"/>
      <c r="B713" s="10"/>
      <c r="C713" s="12"/>
      <c r="D713" s="12"/>
      <c r="E713" s="12"/>
      <c r="F713" s="12"/>
      <c r="G713" s="12"/>
    </row>
    <row r="714" spans="1:7" ht="15.75" customHeight="1" thickBot="1">
      <c r="A714" s="10"/>
      <c r="B714" s="10"/>
      <c r="C714" s="12"/>
      <c r="D714" s="12"/>
      <c r="E714" s="12"/>
      <c r="F714" s="12"/>
      <c r="G714" s="12"/>
    </row>
    <row r="715" spans="1:7" ht="15.75" customHeight="1" thickBot="1">
      <c r="A715" s="10"/>
      <c r="B715" s="10"/>
      <c r="C715" s="12"/>
      <c r="D715" s="12"/>
      <c r="E715" s="12"/>
      <c r="F715" s="12"/>
      <c r="G715" s="12"/>
    </row>
    <row r="716" spans="1:7" ht="15.75" customHeight="1" thickBot="1">
      <c r="A716" s="10"/>
      <c r="B716" s="10"/>
      <c r="C716" s="12"/>
      <c r="D716" s="12"/>
      <c r="E716" s="12"/>
      <c r="F716" s="12"/>
      <c r="G716" s="12"/>
    </row>
    <row r="717" spans="1:7" ht="15.75" customHeight="1" thickBot="1">
      <c r="A717" s="10"/>
      <c r="B717" s="10"/>
      <c r="C717" s="12"/>
      <c r="D717" s="12"/>
      <c r="E717" s="12"/>
      <c r="F717" s="12"/>
      <c r="G717" s="12"/>
    </row>
    <row r="718" spans="1:7" ht="15.75" customHeight="1" thickBot="1">
      <c r="A718" s="10"/>
      <c r="B718" s="10"/>
      <c r="C718" s="12"/>
      <c r="D718" s="12"/>
      <c r="E718" s="12"/>
      <c r="F718" s="12"/>
      <c r="G718" s="12"/>
    </row>
    <row r="719" spans="1:7" ht="15.75" customHeight="1" thickBot="1">
      <c r="A719" s="10"/>
      <c r="B719" s="10"/>
      <c r="C719" s="12"/>
      <c r="D719" s="12"/>
      <c r="E719" s="12"/>
      <c r="F719" s="12"/>
      <c r="G719" s="12"/>
    </row>
    <row r="720" spans="1:7" ht="15.75" customHeight="1" thickBot="1">
      <c r="A720" s="10"/>
      <c r="B720" s="10"/>
      <c r="C720" s="12"/>
      <c r="D720" s="12"/>
      <c r="E720" s="12"/>
      <c r="F720" s="12"/>
      <c r="G720" s="12"/>
    </row>
    <row r="721" spans="1:7" ht="15.75" customHeight="1" thickBot="1">
      <c r="A721" s="10"/>
      <c r="B721" s="10"/>
      <c r="C721" s="12"/>
      <c r="D721" s="12"/>
      <c r="E721" s="12"/>
      <c r="F721" s="12"/>
      <c r="G721" s="12"/>
    </row>
    <row r="722" spans="1:7" ht="15.75" customHeight="1" thickBot="1">
      <c r="A722" s="10"/>
      <c r="B722" s="10"/>
      <c r="C722" s="12"/>
      <c r="D722" s="12"/>
      <c r="E722" s="12"/>
      <c r="F722" s="12"/>
      <c r="G722" s="12"/>
    </row>
    <row r="723" spans="1:7" ht="15.75" customHeight="1" thickBot="1">
      <c r="A723" s="10"/>
      <c r="B723" s="10"/>
      <c r="C723" s="12"/>
      <c r="D723" s="12"/>
      <c r="E723" s="12"/>
      <c r="F723" s="12"/>
      <c r="G723" s="12"/>
    </row>
    <row r="724" spans="1:7" ht="15.75" customHeight="1" thickBot="1">
      <c r="A724" s="10"/>
      <c r="B724" s="10"/>
      <c r="C724" s="12"/>
      <c r="D724" s="12"/>
      <c r="E724" s="12"/>
      <c r="F724" s="12"/>
      <c r="G724" s="12"/>
    </row>
    <row r="725" spans="1:7" ht="15.75" customHeight="1" thickBot="1">
      <c r="A725" s="10"/>
      <c r="B725" s="10"/>
      <c r="C725" s="12"/>
      <c r="D725" s="12"/>
      <c r="E725" s="12"/>
      <c r="F725" s="12"/>
      <c r="G725" s="12"/>
    </row>
    <row r="726" spans="1:7" ht="15.75" customHeight="1" thickBot="1">
      <c r="A726" s="10"/>
      <c r="B726" s="10"/>
      <c r="C726" s="12"/>
      <c r="D726" s="12"/>
      <c r="E726" s="12"/>
      <c r="F726" s="12"/>
      <c r="G726" s="12"/>
    </row>
    <row r="727" spans="1:7" ht="15.75" customHeight="1" thickBot="1">
      <c r="A727" s="10"/>
      <c r="B727" s="10"/>
      <c r="C727" s="12"/>
      <c r="D727" s="12"/>
      <c r="E727" s="12"/>
      <c r="F727" s="12"/>
      <c r="G727" s="12"/>
    </row>
    <row r="728" spans="1:7" ht="15.75" customHeight="1" thickBot="1">
      <c r="A728" s="10"/>
      <c r="B728" s="10"/>
      <c r="C728" s="12"/>
      <c r="D728" s="12"/>
      <c r="E728" s="12"/>
      <c r="F728" s="12"/>
      <c r="G728" s="12"/>
    </row>
    <row r="729" spans="1:7" ht="15.75" customHeight="1" thickBot="1">
      <c r="A729" s="10"/>
      <c r="B729" s="10"/>
      <c r="C729" s="12"/>
      <c r="D729" s="12"/>
      <c r="E729" s="12"/>
      <c r="F729" s="12"/>
      <c r="G729" s="12"/>
    </row>
    <row r="730" spans="1:7" ht="15.75" customHeight="1" thickBot="1">
      <c r="A730" s="10"/>
      <c r="B730" s="10"/>
      <c r="C730" s="12"/>
      <c r="D730" s="12"/>
      <c r="E730" s="12"/>
      <c r="F730" s="12"/>
      <c r="G730" s="12"/>
    </row>
    <row r="731" spans="1:7" ht="15.75" customHeight="1" thickBot="1">
      <c r="A731" s="10"/>
      <c r="B731" s="10"/>
      <c r="C731" s="12"/>
      <c r="D731" s="12"/>
      <c r="E731" s="12"/>
      <c r="F731" s="12"/>
      <c r="G731" s="12"/>
    </row>
    <row r="732" spans="1:7" ht="15.75" customHeight="1" thickBot="1">
      <c r="A732" s="10"/>
      <c r="B732" s="10"/>
      <c r="C732" s="12"/>
      <c r="D732" s="12"/>
      <c r="E732" s="12"/>
      <c r="F732" s="12"/>
      <c r="G732" s="12"/>
    </row>
    <row r="733" spans="1:7" ht="15.75" customHeight="1" thickBot="1">
      <c r="A733" s="10"/>
      <c r="B733" s="10"/>
      <c r="C733" s="12"/>
      <c r="D733" s="12"/>
      <c r="E733" s="12"/>
      <c r="F733" s="12"/>
      <c r="G733" s="12"/>
    </row>
    <row r="734" spans="1:7" ht="15.75" customHeight="1" thickBot="1">
      <c r="A734" s="10"/>
      <c r="B734" s="10"/>
      <c r="C734" s="12"/>
      <c r="D734" s="12"/>
      <c r="E734" s="12"/>
      <c r="F734" s="12"/>
      <c r="G734" s="12"/>
    </row>
    <row r="735" spans="1:7" ht="15.75" customHeight="1" thickBot="1">
      <c r="A735" s="10"/>
      <c r="B735" s="10"/>
      <c r="C735" s="12"/>
      <c r="D735" s="12"/>
      <c r="E735" s="12"/>
      <c r="F735" s="12"/>
      <c r="G735" s="12"/>
    </row>
    <row r="736" spans="1:7" ht="15.75" customHeight="1" thickBot="1">
      <c r="A736" s="10"/>
      <c r="B736" s="10"/>
      <c r="C736" s="12"/>
      <c r="D736" s="12"/>
      <c r="E736" s="12"/>
      <c r="F736" s="12"/>
      <c r="G736" s="12"/>
    </row>
    <row r="737" spans="1:7" ht="15.75" customHeight="1" thickBot="1">
      <c r="A737" s="10"/>
      <c r="B737" s="10"/>
      <c r="C737" s="12"/>
      <c r="D737" s="12"/>
      <c r="E737" s="12"/>
      <c r="F737" s="12"/>
      <c r="G737" s="12"/>
    </row>
    <row r="738" spans="1:7" ht="15.75" customHeight="1" thickBot="1">
      <c r="A738" s="10"/>
      <c r="B738" s="10"/>
      <c r="C738" s="12"/>
      <c r="D738" s="12"/>
      <c r="E738" s="12"/>
      <c r="F738" s="12"/>
      <c r="G738" s="12"/>
    </row>
    <row r="739" spans="1:7" ht="15.75" customHeight="1" thickBot="1">
      <c r="A739" s="10"/>
      <c r="B739" s="10"/>
      <c r="C739" s="12"/>
      <c r="D739" s="12"/>
      <c r="E739" s="12"/>
      <c r="F739" s="12"/>
      <c r="G739" s="12"/>
    </row>
    <row r="740" spans="1:7" ht="15.75" customHeight="1" thickBot="1">
      <c r="A740" s="10"/>
      <c r="B740" s="10"/>
      <c r="C740" s="12"/>
      <c r="D740" s="12"/>
      <c r="E740" s="12"/>
      <c r="F740" s="12"/>
      <c r="G740" s="12"/>
    </row>
    <row r="741" spans="1:7" ht="15.75" customHeight="1" thickBot="1">
      <c r="A741" s="10"/>
      <c r="B741" s="10"/>
      <c r="C741" s="12"/>
      <c r="D741" s="12"/>
      <c r="E741" s="12"/>
      <c r="F741" s="12"/>
      <c r="G741" s="12"/>
    </row>
    <row r="742" spans="1:7" ht="15.75" customHeight="1" thickBot="1">
      <c r="A742" s="10"/>
      <c r="B742" s="10"/>
      <c r="C742" s="12"/>
      <c r="D742" s="12"/>
      <c r="E742" s="12"/>
      <c r="F742" s="12"/>
      <c r="G742" s="12"/>
    </row>
    <row r="743" spans="1:7" ht="15.75" customHeight="1" thickBot="1">
      <c r="A743" s="10"/>
      <c r="B743" s="10"/>
      <c r="C743" s="12"/>
      <c r="D743" s="12"/>
      <c r="E743" s="12"/>
      <c r="F743" s="12"/>
      <c r="G743" s="12"/>
    </row>
    <row r="744" spans="1:7" ht="15.75" customHeight="1" thickBot="1">
      <c r="A744" s="10"/>
      <c r="B744" s="10"/>
      <c r="C744" s="12"/>
      <c r="D744" s="12"/>
      <c r="E744" s="12"/>
      <c r="F744" s="12"/>
      <c r="G744" s="12"/>
    </row>
    <row r="745" spans="1:7" ht="15.75" customHeight="1" thickBot="1">
      <c r="A745" s="10"/>
      <c r="B745" s="10"/>
      <c r="C745" s="12"/>
      <c r="D745" s="12"/>
      <c r="E745" s="12"/>
      <c r="F745" s="12"/>
      <c r="G745" s="12"/>
    </row>
    <row r="746" spans="1:7" ht="15.75" customHeight="1" thickBot="1">
      <c r="A746" s="10"/>
      <c r="B746" s="10"/>
      <c r="C746" s="12"/>
      <c r="D746" s="12"/>
      <c r="E746" s="12"/>
      <c r="F746" s="12"/>
      <c r="G746" s="12"/>
    </row>
    <row r="747" spans="1:7" ht="15.75" customHeight="1" thickBot="1">
      <c r="A747" s="10"/>
      <c r="B747" s="10"/>
      <c r="C747" s="12"/>
      <c r="D747" s="12"/>
      <c r="E747" s="12"/>
      <c r="F747" s="12"/>
      <c r="G747" s="12"/>
    </row>
    <row r="748" spans="1:7" ht="15.75" customHeight="1" thickBot="1">
      <c r="A748" s="10"/>
      <c r="B748" s="10"/>
      <c r="C748" s="12"/>
      <c r="D748" s="12"/>
      <c r="E748" s="12"/>
      <c r="F748" s="12"/>
      <c r="G748" s="12"/>
    </row>
    <row r="749" spans="1:7" ht="15.75" customHeight="1" thickBot="1">
      <c r="A749" s="10"/>
      <c r="B749" s="10"/>
      <c r="C749" s="12"/>
      <c r="D749" s="12"/>
      <c r="E749" s="12"/>
      <c r="F749" s="12"/>
      <c r="G749" s="12"/>
    </row>
    <row r="750" spans="1:7" ht="15.75" customHeight="1" thickBot="1">
      <c r="A750" s="10"/>
      <c r="B750" s="10"/>
      <c r="C750" s="12"/>
      <c r="D750" s="12"/>
      <c r="E750" s="12"/>
      <c r="F750" s="12"/>
      <c r="G750" s="12"/>
    </row>
    <row r="751" spans="1:7" ht="15.75" customHeight="1" thickBot="1">
      <c r="A751" s="10"/>
      <c r="B751" s="10"/>
      <c r="C751" s="12"/>
      <c r="D751" s="12"/>
      <c r="E751" s="12"/>
      <c r="F751" s="12"/>
      <c r="G751" s="12"/>
    </row>
    <row r="752" spans="1:7" ht="15.75" customHeight="1" thickBot="1">
      <c r="A752" s="10"/>
      <c r="B752" s="10"/>
      <c r="C752" s="12"/>
      <c r="D752" s="12"/>
      <c r="E752" s="12"/>
      <c r="F752" s="12"/>
      <c r="G752" s="12"/>
    </row>
    <row r="753" spans="1:7" ht="15.75" customHeight="1" thickBot="1">
      <c r="A753" s="10"/>
      <c r="B753" s="10"/>
      <c r="C753" s="12"/>
      <c r="D753" s="12"/>
      <c r="E753" s="12"/>
      <c r="F753" s="12"/>
      <c r="G753" s="12"/>
    </row>
    <row r="754" spans="1:7" ht="15.75" customHeight="1" thickBot="1">
      <c r="A754" s="10"/>
      <c r="B754" s="10"/>
      <c r="C754" s="12"/>
      <c r="D754" s="12"/>
      <c r="E754" s="12"/>
      <c r="F754" s="12"/>
      <c r="G754" s="12"/>
    </row>
    <row r="755" spans="1:7" ht="15.75" customHeight="1" thickBot="1">
      <c r="A755" s="10"/>
      <c r="B755" s="10"/>
      <c r="C755" s="12"/>
      <c r="D755" s="12"/>
      <c r="E755" s="12"/>
      <c r="F755" s="12"/>
      <c r="G755" s="12"/>
    </row>
    <row r="756" spans="1:7" ht="15.75" customHeight="1" thickBot="1">
      <c r="A756" s="10"/>
      <c r="B756" s="10"/>
      <c r="C756" s="12"/>
      <c r="D756" s="12"/>
      <c r="E756" s="12"/>
      <c r="F756" s="12"/>
      <c r="G756" s="12"/>
    </row>
  </sheetData>
  <sortState ref="A29:H32">
    <sortCondition descending="1" ref="F29:F32"/>
    <sortCondition descending="1" ref="E29:E32"/>
    <sortCondition descending="1" ref="D29:D32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workbookViewId="0">
      <selection activeCell="J33" sqref="J33"/>
    </sheetView>
  </sheetViews>
  <sheetFormatPr defaultColWidth="9.140625" defaultRowHeight="12.75"/>
  <cols>
    <col min="1" max="1" width="4" style="5" bestFit="1" customWidth="1"/>
    <col min="2" max="2" width="12.85546875" style="5" customWidth="1"/>
    <col min="3" max="3" width="16.5703125" style="5" customWidth="1"/>
    <col min="4" max="6" width="4.85546875" style="16" customWidth="1"/>
    <col min="7" max="7" width="6.28515625" style="16" bestFit="1" customWidth="1"/>
    <col min="8" max="8" width="5.85546875" style="16" bestFit="1" customWidth="1"/>
    <col min="9" max="9" width="11.42578125" style="16" bestFit="1" customWidth="1"/>
    <col min="10" max="10" width="11.42578125" style="5" bestFit="1" customWidth="1"/>
    <col min="11" max="16384" width="9.140625" style="5"/>
  </cols>
  <sheetData>
    <row r="1" spans="1:9" ht="13.5" thickBot="1">
      <c r="A1" s="6"/>
      <c r="B1" s="7" t="s">
        <v>29</v>
      </c>
      <c r="C1" s="6"/>
      <c r="D1" s="12"/>
      <c r="E1" s="12"/>
      <c r="F1" s="12"/>
      <c r="G1" s="12"/>
      <c r="H1" s="12"/>
    </row>
    <row r="2" spans="1:9" ht="13.5" thickBot="1">
      <c r="A2" s="9" t="s">
        <v>1</v>
      </c>
      <c r="B2" s="9" t="s">
        <v>30</v>
      </c>
      <c r="C2" s="9" t="s">
        <v>31</v>
      </c>
      <c r="D2" s="13">
        <v>1</v>
      </c>
      <c r="E2" s="13">
        <v>2</v>
      </c>
      <c r="F2" s="13">
        <v>3</v>
      </c>
      <c r="G2" s="13" t="s">
        <v>6</v>
      </c>
      <c r="H2" s="13" t="s">
        <v>7</v>
      </c>
      <c r="I2" s="38" t="s">
        <v>385</v>
      </c>
    </row>
    <row r="3" spans="1:9" ht="13.5" thickBot="1">
      <c r="A3" s="8">
        <v>55</v>
      </c>
      <c r="B3" s="6" t="s">
        <v>32</v>
      </c>
      <c r="C3" s="6" t="s">
        <v>33</v>
      </c>
      <c r="D3" s="12">
        <v>94</v>
      </c>
      <c r="E3" s="12">
        <v>94</v>
      </c>
      <c r="F3" s="12">
        <v>96</v>
      </c>
      <c r="G3" s="12">
        <v>284</v>
      </c>
      <c r="H3" s="14">
        <v>1</v>
      </c>
      <c r="I3" s="16" t="s">
        <v>389</v>
      </c>
    </row>
    <row r="4" spans="1:9" ht="13.5" thickBot="1">
      <c r="A4" s="8">
        <v>158</v>
      </c>
      <c r="B4" s="6" t="s">
        <v>34</v>
      </c>
      <c r="C4" s="6" t="s">
        <v>35</v>
      </c>
      <c r="D4" s="12">
        <v>96</v>
      </c>
      <c r="E4" s="12">
        <v>94</v>
      </c>
      <c r="F4" s="12">
        <v>93</v>
      </c>
      <c r="G4" s="12">
        <v>283</v>
      </c>
      <c r="H4" s="12">
        <v>2</v>
      </c>
      <c r="I4" s="16" t="s">
        <v>389</v>
      </c>
    </row>
    <row r="5" spans="1:9" ht="13.5" thickBot="1">
      <c r="A5" s="8">
        <v>24</v>
      </c>
      <c r="B5" s="6" t="s">
        <v>36</v>
      </c>
      <c r="C5" s="6" t="s">
        <v>37</v>
      </c>
      <c r="D5" s="12">
        <v>95</v>
      </c>
      <c r="E5" s="12">
        <v>95</v>
      </c>
      <c r="F5" s="12">
        <v>92</v>
      </c>
      <c r="G5" s="12">
        <v>282</v>
      </c>
      <c r="H5" s="12">
        <v>3</v>
      </c>
      <c r="I5" s="16" t="s">
        <v>389</v>
      </c>
    </row>
    <row r="6" spans="1:9" ht="13.5" thickBot="1">
      <c r="A6" s="8">
        <v>157</v>
      </c>
      <c r="B6" s="6" t="s">
        <v>40</v>
      </c>
      <c r="C6" s="6" t="s">
        <v>41</v>
      </c>
      <c r="D6" s="12">
        <v>98</v>
      </c>
      <c r="E6" s="12">
        <v>89</v>
      </c>
      <c r="F6" s="12">
        <v>94</v>
      </c>
      <c r="G6" s="12">
        <v>281</v>
      </c>
      <c r="H6" s="12">
        <v>4</v>
      </c>
      <c r="I6" s="16" t="s">
        <v>389</v>
      </c>
    </row>
    <row r="7" spans="1:9" ht="13.5" thickBot="1">
      <c r="A7" s="8">
        <v>106</v>
      </c>
      <c r="B7" s="6" t="s">
        <v>38</v>
      </c>
      <c r="C7" s="6" t="s">
        <v>39</v>
      </c>
      <c r="D7" s="12">
        <v>97</v>
      </c>
      <c r="E7" s="12">
        <v>93</v>
      </c>
      <c r="F7" s="12">
        <v>91</v>
      </c>
      <c r="G7" s="12">
        <v>281</v>
      </c>
      <c r="H7" s="12">
        <v>5</v>
      </c>
      <c r="I7" s="16" t="s">
        <v>389</v>
      </c>
    </row>
    <row r="8" spans="1:9" ht="13.5" thickBot="1">
      <c r="A8" s="8">
        <v>27</v>
      </c>
      <c r="B8" s="6" t="s">
        <v>42</v>
      </c>
      <c r="C8" s="6" t="s">
        <v>43</v>
      </c>
      <c r="D8" s="12">
        <v>92</v>
      </c>
      <c r="E8" s="12">
        <v>90</v>
      </c>
      <c r="F8" s="12">
        <v>95</v>
      </c>
      <c r="G8" s="12">
        <v>277</v>
      </c>
      <c r="H8" s="12">
        <v>6</v>
      </c>
      <c r="I8" s="16" t="s">
        <v>389</v>
      </c>
    </row>
    <row r="9" spans="1:9" ht="13.5" thickBot="1">
      <c r="A9" s="8">
        <v>66</v>
      </c>
      <c r="B9" s="6" t="s">
        <v>44</v>
      </c>
      <c r="C9" s="6" t="s">
        <v>45</v>
      </c>
      <c r="D9" s="12">
        <v>91</v>
      </c>
      <c r="E9" s="12">
        <v>96</v>
      </c>
      <c r="F9" s="12">
        <v>90</v>
      </c>
      <c r="G9" s="12">
        <v>277</v>
      </c>
      <c r="H9" s="12">
        <v>7</v>
      </c>
      <c r="I9" s="16" t="s">
        <v>389</v>
      </c>
    </row>
    <row r="10" spans="1:9" ht="13.5" thickBot="1">
      <c r="A10" s="8">
        <v>83</v>
      </c>
      <c r="B10" s="6" t="s">
        <v>46</v>
      </c>
      <c r="C10" s="6" t="s">
        <v>47</v>
      </c>
      <c r="D10" s="12">
        <v>92</v>
      </c>
      <c r="E10" s="12">
        <v>90</v>
      </c>
      <c r="F10" s="12">
        <v>93</v>
      </c>
      <c r="G10" s="12">
        <v>275</v>
      </c>
      <c r="H10" s="12">
        <v>8</v>
      </c>
      <c r="I10" s="16" t="s">
        <v>389</v>
      </c>
    </row>
    <row r="11" spans="1:9" ht="13.5" thickBot="1">
      <c r="A11" s="8">
        <v>142</v>
      </c>
      <c r="B11" s="6" t="s">
        <v>48</v>
      </c>
      <c r="C11" s="6" t="s">
        <v>49</v>
      </c>
      <c r="D11" s="12">
        <v>92</v>
      </c>
      <c r="E11" s="12">
        <v>91</v>
      </c>
      <c r="F11" s="12">
        <v>91</v>
      </c>
      <c r="G11" s="12">
        <v>274</v>
      </c>
      <c r="H11" s="12">
        <v>9</v>
      </c>
      <c r="I11" s="16" t="s">
        <v>389</v>
      </c>
    </row>
    <row r="12" spans="1:9" ht="13.5" thickBot="1">
      <c r="A12" s="8">
        <v>102</v>
      </c>
      <c r="B12" s="6" t="s">
        <v>52</v>
      </c>
      <c r="C12" s="6" t="s">
        <v>53</v>
      </c>
      <c r="D12" s="12">
        <v>90</v>
      </c>
      <c r="E12" s="12">
        <v>89</v>
      </c>
      <c r="F12" s="12">
        <v>94</v>
      </c>
      <c r="G12" s="12">
        <v>273</v>
      </c>
      <c r="H12" s="12">
        <v>10</v>
      </c>
      <c r="I12" s="16" t="s">
        <v>389</v>
      </c>
    </row>
    <row r="13" spans="1:9" ht="13.5" thickBot="1">
      <c r="A13" s="8">
        <v>47</v>
      </c>
      <c r="B13" s="6" t="s">
        <v>50</v>
      </c>
      <c r="C13" s="6" t="s">
        <v>51</v>
      </c>
      <c r="D13" s="12">
        <v>94</v>
      </c>
      <c r="E13" s="12">
        <v>89</v>
      </c>
      <c r="F13" s="12">
        <v>90</v>
      </c>
      <c r="G13" s="12">
        <v>273</v>
      </c>
      <c r="H13" s="12">
        <v>11</v>
      </c>
      <c r="I13" s="16" t="s">
        <v>389</v>
      </c>
    </row>
    <row r="14" spans="1:9" ht="13.5" thickBot="1">
      <c r="A14" s="8">
        <v>141</v>
      </c>
      <c r="B14" s="6" t="s">
        <v>56</v>
      </c>
      <c r="C14" s="6" t="s">
        <v>57</v>
      </c>
      <c r="D14" s="12">
        <v>89</v>
      </c>
      <c r="E14" s="12">
        <v>89</v>
      </c>
      <c r="F14" s="12">
        <v>94</v>
      </c>
      <c r="G14" s="12">
        <v>272</v>
      </c>
      <c r="H14" s="12">
        <v>12</v>
      </c>
      <c r="I14" s="16" t="s">
        <v>389</v>
      </c>
    </row>
    <row r="15" spans="1:9" ht="13.5" thickBot="1">
      <c r="A15" s="8">
        <v>71</v>
      </c>
      <c r="B15" s="6" t="s">
        <v>54</v>
      </c>
      <c r="C15" s="6" t="s">
        <v>55</v>
      </c>
      <c r="D15" s="12">
        <v>89</v>
      </c>
      <c r="E15" s="12">
        <v>92</v>
      </c>
      <c r="F15" s="12">
        <v>91</v>
      </c>
      <c r="G15" s="12">
        <v>272</v>
      </c>
      <c r="H15" s="12">
        <v>13</v>
      </c>
      <c r="I15" s="16" t="s">
        <v>389</v>
      </c>
    </row>
    <row r="16" spans="1:9" ht="13.5" thickBot="1">
      <c r="A16" s="8">
        <v>185</v>
      </c>
      <c r="B16" s="6" t="s">
        <v>58</v>
      </c>
      <c r="C16" s="6" t="s">
        <v>59</v>
      </c>
      <c r="D16" s="12">
        <v>87</v>
      </c>
      <c r="E16" s="12">
        <v>95</v>
      </c>
      <c r="F16" s="12">
        <v>89</v>
      </c>
      <c r="G16" s="12">
        <v>271</v>
      </c>
      <c r="H16" s="12">
        <v>14</v>
      </c>
      <c r="I16" s="16" t="s">
        <v>389</v>
      </c>
    </row>
    <row r="17" spans="1:12" ht="13.5" thickBot="1">
      <c r="A17" s="8">
        <v>144</v>
      </c>
      <c r="B17" s="6" t="s">
        <v>64</v>
      </c>
      <c r="C17" s="6" t="s">
        <v>49</v>
      </c>
      <c r="D17" s="12">
        <v>87</v>
      </c>
      <c r="E17" s="12">
        <v>92</v>
      </c>
      <c r="F17" s="12">
        <v>91</v>
      </c>
      <c r="G17" s="12">
        <v>270</v>
      </c>
      <c r="H17" s="12">
        <v>15</v>
      </c>
      <c r="I17" s="16" t="s">
        <v>389</v>
      </c>
    </row>
    <row r="18" spans="1:12" ht="13.5" thickBot="1">
      <c r="A18" s="8">
        <v>14</v>
      </c>
      <c r="B18" s="6" t="s">
        <v>60</v>
      </c>
      <c r="C18" s="6" t="s">
        <v>61</v>
      </c>
      <c r="D18" s="12">
        <v>89</v>
      </c>
      <c r="E18" s="12">
        <v>90</v>
      </c>
      <c r="F18" s="12">
        <v>91</v>
      </c>
      <c r="G18" s="12">
        <v>270</v>
      </c>
      <c r="H18" s="12">
        <v>16</v>
      </c>
      <c r="I18" s="16" t="s">
        <v>389</v>
      </c>
    </row>
    <row r="19" spans="1:12" ht="13.5" thickBot="1">
      <c r="A19" s="8">
        <v>130</v>
      </c>
      <c r="B19" s="6" t="s">
        <v>62</v>
      </c>
      <c r="C19" s="6" t="s">
        <v>63</v>
      </c>
      <c r="D19" s="12">
        <v>90</v>
      </c>
      <c r="E19" s="12">
        <v>94</v>
      </c>
      <c r="F19" s="12">
        <v>86</v>
      </c>
      <c r="G19" s="12">
        <v>270</v>
      </c>
      <c r="H19" s="12">
        <v>17</v>
      </c>
      <c r="I19" s="16" t="s">
        <v>389</v>
      </c>
    </row>
    <row r="20" spans="1:12" ht="13.5" thickBot="1">
      <c r="A20" s="8">
        <v>148</v>
      </c>
      <c r="B20" s="6" t="s">
        <v>65</v>
      </c>
      <c r="C20" s="6" t="s">
        <v>66</v>
      </c>
      <c r="D20" s="12">
        <v>91</v>
      </c>
      <c r="E20" s="12">
        <v>87</v>
      </c>
      <c r="F20" s="12">
        <v>91</v>
      </c>
      <c r="G20" s="12">
        <v>269</v>
      </c>
      <c r="H20" s="12">
        <v>18</v>
      </c>
      <c r="I20" s="16" t="s">
        <v>389</v>
      </c>
    </row>
    <row r="21" spans="1:12" ht="13.5" thickBot="1">
      <c r="A21" s="8">
        <v>181</v>
      </c>
      <c r="B21" s="6" t="s">
        <v>48</v>
      </c>
      <c r="C21" s="6" t="s">
        <v>67</v>
      </c>
      <c r="D21" s="12">
        <v>91</v>
      </c>
      <c r="E21" s="12">
        <v>89</v>
      </c>
      <c r="F21" s="12">
        <v>89</v>
      </c>
      <c r="G21" s="12">
        <v>269</v>
      </c>
      <c r="H21" s="12">
        <v>19</v>
      </c>
      <c r="I21" s="16" t="s">
        <v>389</v>
      </c>
    </row>
    <row r="22" spans="1:12" ht="13.5" thickBot="1">
      <c r="A22" s="8">
        <v>65</v>
      </c>
      <c r="B22" s="6" t="s">
        <v>68</v>
      </c>
      <c r="C22" s="6" t="s">
        <v>69</v>
      </c>
      <c r="D22" s="12">
        <v>93</v>
      </c>
      <c r="E22" s="12">
        <v>89</v>
      </c>
      <c r="F22" s="12">
        <v>86</v>
      </c>
      <c r="G22" s="12">
        <v>268</v>
      </c>
      <c r="H22" s="12">
        <v>20</v>
      </c>
      <c r="I22" s="16" t="s">
        <v>389</v>
      </c>
    </row>
    <row r="23" spans="1:12" ht="13.5" thickBot="1">
      <c r="A23" s="8">
        <v>103</v>
      </c>
      <c r="B23" s="6" t="s">
        <v>70</v>
      </c>
      <c r="C23" s="6" t="s">
        <v>71</v>
      </c>
      <c r="D23" s="12">
        <v>90</v>
      </c>
      <c r="E23" s="12">
        <v>90</v>
      </c>
      <c r="F23" s="12">
        <v>87</v>
      </c>
      <c r="G23" s="12">
        <v>267</v>
      </c>
      <c r="H23" s="12">
        <v>21</v>
      </c>
      <c r="I23" s="16" t="s">
        <v>389</v>
      </c>
    </row>
    <row r="24" spans="1:12" ht="13.5" thickBot="1">
      <c r="A24" s="8">
        <v>18</v>
      </c>
      <c r="B24" s="6" t="s">
        <v>76</v>
      </c>
      <c r="C24" s="6" t="s">
        <v>77</v>
      </c>
      <c r="D24" s="12">
        <v>90</v>
      </c>
      <c r="E24" s="12">
        <v>84</v>
      </c>
      <c r="F24" s="12">
        <v>90</v>
      </c>
      <c r="G24" s="12">
        <v>264</v>
      </c>
      <c r="H24" s="12">
        <v>22</v>
      </c>
      <c r="I24" s="16" t="s">
        <v>389</v>
      </c>
    </row>
    <row r="25" spans="1:12" ht="13.5" thickBot="1">
      <c r="A25" s="8">
        <v>50</v>
      </c>
      <c r="B25" s="6" t="s">
        <v>78</v>
      </c>
      <c r="C25" s="6" t="s">
        <v>79</v>
      </c>
      <c r="D25" s="12">
        <v>86</v>
      </c>
      <c r="E25" s="12">
        <v>89</v>
      </c>
      <c r="F25" s="12">
        <v>89</v>
      </c>
      <c r="G25" s="12">
        <v>264</v>
      </c>
      <c r="H25" s="12">
        <v>23</v>
      </c>
      <c r="I25" s="16" t="s">
        <v>389</v>
      </c>
    </row>
    <row r="26" spans="1:12" ht="13.5" thickBot="1">
      <c r="A26" s="8">
        <v>12</v>
      </c>
      <c r="B26" s="6" t="s">
        <v>74</v>
      </c>
      <c r="C26" s="6" t="s">
        <v>75</v>
      </c>
      <c r="D26" s="12">
        <v>88</v>
      </c>
      <c r="E26" s="12">
        <v>90</v>
      </c>
      <c r="F26" s="12">
        <v>86</v>
      </c>
      <c r="G26" s="12">
        <v>264</v>
      </c>
      <c r="H26" s="12">
        <v>24</v>
      </c>
      <c r="I26" s="16" t="s">
        <v>389</v>
      </c>
    </row>
    <row r="27" spans="1:12" ht="13.5" thickBot="1">
      <c r="A27" s="8">
        <v>101</v>
      </c>
      <c r="B27" s="6" t="s">
        <v>89</v>
      </c>
      <c r="C27" s="6" t="s">
        <v>90</v>
      </c>
      <c r="D27" s="12">
        <v>81</v>
      </c>
      <c r="E27" s="12">
        <v>92</v>
      </c>
      <c r="F27" s="12">
        <v>90</v>
      </c>
      <c r="G27" s="12">
        <v>263</v>
      </c>
      <c r="H27" s="12">
        <v>25</v>
      </c>
      <c r="I27" s="16" t="s">
        <v>389</v>
      </c>
    </row>
    <row r="28" spans="1:12" ht="13.5" thickBot="1">
      <c r="A28" s="8">
        <v>34</v>
      </c>
      <c r="B28" s="6" t="s">
        <v>74</v>
      </c>
      <c r="C28" s="6" t="s">
        <v>88</v>
      </c>
      <c r="D28" s="12">
        <v>87</v>
      </c>
      <c r="E28" s="12">
        <v>86</v>
      </c>
      <c r="F28" s="12">
        <v>90</v>
      </c>
      <c r="G28" s="12">
        <v>263</v>
      </c>
      <c r="H28" s="12">
        <v>26</v>
      </c>
      <c r="I28" s="16" t="s">
        <v>389</v>
      </c>
    </row>
    <row r="29" spans="1:12" ht="13.5" thickBot="1">
      <c r="A29" s="8">
        <v>11</v>
      </c>
      <c r="B29" s="6" t="s">
        <v>86</v>
      </c>
      <c r="C29" s="6" t="s">
        <v>87</v>
      </c>
      <c r="D29" s="12">
        <v>88</v>
      </c>
      <c r="E29" s="12">
        <v>85</v>
      </c>
      <c r="F29" s="12">
        <v>90</v>
      </c>
      <c r="G29" s="12">
        <v>263</v>
      </c>
      <c r="H29" s="12">
        <v>27</v>
      </c>
      <c r="I29" s="16" t="s">
        <v>389</v>
      </c>
      <c r="J29" s="32" t="s">
        <v>387</v>
      </c>
      <c r="K29" s="45">
        <f>SUM(G3:G29)/27</f>
        <v>271.81481481481484</v>
      </c>
      <c r="L29" s="5" t="s">
        <v>389</v>
      </c>
    </row>
    <row r="30" spans="1:12" ht="13.5" thickBot="1">
      <c r="A30" s="8">
        <v>2</v>
      </c>
      <c r="B30" s="19" t="s">
        <v>82</v>
      </c>
      <c r="C30" s="19" t="s">
        <v>83</v>
      </c>
      <c r="D30" s="20">
        <v>89</v>
      </c>
      <c r="E30" s="20">
        <v>84</v>
      </c>
      <c r="F30" s="20">
        <v>90</v>
      </c>
      <c r="G30" s="20">
        <v>263</v>
      </c>
      <c r="H30" s="12">
        <v>28</v>
      </c>
      <c r="I30" s="16" t="s">
        <v>389</v>
      </c>
      <c r="J30" s="5" t="s">
        <v>379</v>
      </c>
      <c r="K30" s="32" t="s">
        <v>380</v>
      </c>
    </row>
    <row r="31" spans="1:12" ht="13.5" thickBot="1">
      <c r="A31" s="8">
        <v>6</v>
      </c>
      <c r="B31" s="22" t="s">
        <v>84</v>
      </c>
      <c r="C31" s="22" t="s">
        <v>85</v>
      </c>
      <c r="D31" s="23">
        <v>91</v>
      </c>
      <c r="E31" s="23">
        <v>84</v>
      </c>
      <c r="F31" s="23">
        <v>88</v>
      </c>
      <c r="G31" s="23">
        <v>263</v>
      </c>
      <c r="H31" s="12">
        <v>29</v>
      </c>
      <c r="I31" s="16" t="s">
        <v>389</v>
      </c>
      <c r="K31" s="5" t="s">
        <v>381</v>
      </c>
    </row>
    <row r="32" spans="1:12" ht="13.5" thickBot="1">
      <c r="A32" s="8">
        <v>36</v>
      </c>
      <c r="B32" s="24" t="s">
        <v>91</v>
      </c>
      <c r="C32" s="24" t="s">
        <v>92</v>
      </c>
      <c r="D32" s="25">
        <v>87</v>
      </c>
      <c r="E32" s="25">
        <v>90</v>
      </c>
      <c r="F32" s="25">
        <v>85</v>
      </c>
      <c r="G32" s="25">
        <v>262</v>
      </c>
      <c r="H32" s="12">
        <v>30</v>
      </c>
      <c r="I32" s="16" t="s">
        <v>389</v>
      </c>
      <c r="K32" s="5" t="s">
        <v>382</v>
      </c>
    </row>
    <row r="33" spans="1:9" ht="13.5" thickBot="1">
      <c r="A33" s="8">
        <v>10</v>
      </c>
      <c r="B33" s="6" t="s">
        <v>93</v>
      </c>
      <c r="C33" s="6" t="s">
        <v>94</v>
      </c>
      <c r="D33" s="12">
        <v>85</v>
      </c>
      <c r="E33" s="12">
        <v>84</v>
      </c>
      <c r="F33" s="12">
        <v>91</v>
      </c>
      <c r="G33" s="12">
        <v>260</v>
      </c>
      <c r="H33" s="12">
        <v>31</v>
      </c>
      <c r="I33" s="16" t="s">
        <v>389</v>
      </c>
    </row>
    <row r="34" spans="1:9" ht="13.5" thickBot="1">
      <c r="A34" s="8">
        <v>73</v>
      </c>
      <c r="B34" s="6" t="s">
        <v>95</v>
      </c>
      <c r="C34" s="6" t="s">
        <v>96</v>
      </c>
      <c r="D34" s="12">
        <v>88</v>
      </c>
      <c r="E34" s="12">
        <v>86</v>
      </c>
      <c r="F34" s="12">
        <v>86</v>
      </c>
      <c r="G34" s="12">
        <v>260</v>
      </c>
      <c r="H34" s="12">
        <v>32</v>
      </c>
      <c r="I34" s="16" t="s">
        <v>389</v>
      </c>
    </row>
    <row r="35" spans="1:9" ht="13.5" thickBot="1">
      <c r="A35" s="8">
        <v>67</v>
      </c>
      <c r="B35" s="6" t="s">
        <v>99</v>
      </c>
      <c r="C35" s="6" t="s">
        <v>100</v>
      </c>
      <c r="D35" s="12">
        <v>83</v>
      </c>
      <c r="E35" s="12">
        <v>85</v>
      </c>
      <c r="F35" s="12">
        <v>91</v>
      </c>
      <c r="G35" s="12">
        <v>259</v>
      </c>
      <c r="H35" s="12">
        <v>33</v>
      </c>
      <c r="I35" s="16" t="s">
        <v>388</v>
      </c>
    </row>
    <row r="36" spans="1:9" ht="13.5" thickBot="1">
      <c r="A36" s="8">
        <v>116</v>
      </c>
      <c r="B36" s="6" t="s">
        <v>101</v>
      </c>
      <c r="C36" s="6" t="s">
        <v>102</v>
      </c>
      <c r="D36" s="12">
        <v>84</v>
      </c>
      <c r="E36" s="12">
        <v>85</v>
      </c>
      <c r="F36" s="12">
        <v>90</v>
      </c>
      <c r="G36" s="12">
        <v>259</v>
      </c>
      <c r="H36" s="12">
        <v>34</v>
      </c>
      <c r="I36" s="16" t="s">
        <v>388</v>
      </c>
    </row>
    <row r="37" spans="1:9" ht="13.5" thickBot="1">
      <c r="A37" s="8">
        <v>25</v>
      </c>
      <c r="B37" s="6" t="s">
        <v>34</v>
      </c>
      <c r="C37" s="6" t="s">
        <v>103</v>
      </c>
      <c r="D37" s="12">
        <v>87</v>
      </c>
      <c r="E37" s="12">
        <v>85</v>
      </c>
      <c r="F37" s="12">
        <v>85</v>
      </c>
      <c r="G37" s="12">
        <v>257</v>
      </c>
      <c r="H37" s="12">
        <v>35</v>
      </c>
      <c r="I37" s="16" t="s">
        <v>388</v>
      </c>
    </row>
    <row r="38" spans="1:9" ht="13.5" thickBot="1">
      <c r="A38" s="8">
        <v>107</v>
      </c>
      <c r="B38" s="6" t="s">
        <v>106</v>
      </c>
      <c r="C38" s="6" t="s">
        <v>107</v>
      </c>
      <c r="D38" s="12">
        <v>77</v>
      </c>
      <c r="E38" s="12">
        <v>88</v>
      </c>
      <c r="F38" s="12">
        <v>91</v>
      </c>
      <c r="G38" s="12">
        <v>256</v>
      </c>
      <c r="H38" s="12">
        <v>36</v>
      </c>
      <c r="I38" s="16" t="s">
        <v>388</v>
      </c>
    </row>
    <row r="39" spans="1:9" ht="13.5" thickBot="1">
      <c r="A39" s="8">
        <v>69</v>
      </c>
      <c r="B39" s="6" t="s">
        <v>104</v>
      </c>
      <c r="C39" s="6" t="s">
        <v>105</v>
      </c>
      <c r="D39" s="12">
        <v>87</v>
      </c>
      <c r="E39" s="12">
        <v>83</v>
      </c>
      <c r="F39" s="12">
        <v>86</v>
      </c>
      <c r="G39" s="12">
        <v>256</v>
      </c>
      <c r="H39" s="12">
        <v>37</v>
      </c>
      <c r="I39" s="16" t="s">
        <v>388</v>
      </c>
    </row>
    <row r="40" spans="1:9" ht="13.5" thickBot="1">
      <c r="A40" s="8">
        <v>17</v>
      </c>
      <c r="B40" s="6" t="s">
        <v>108</v>
      </c>
      <c r="C40" s="6" t="s">
        <v>109</v>
      </c>
      <c r="D40" s="12">
        <v>84</v>
      </c>
      <c r="E40" s="12">
        <v>85</v>
      </c>
      <c r="F40" s="12">
        <v>86</v>
      </c>
      <c r="G40" s="12">
        <v>255</v>
      </c>
      <c r="H40" s="12">
        <v>38</v>
      </c>
      <c r="I40" s="16" t="s">
        <v>388</v>
      </c>
    </row>
    <row r="41" spans="1:9" ht="13.5" thickBot="1">
      <c r="A41" s="8">
        <v>162</v>
      </c>
      <c r="B41" s="6" t="s">
        <v>112</v>
      </c>
      <c r="C41" s="6" t="s">
        <v>113</v>
      </c>
      <c r="D41" s="12">
        <v>76</v>
      </c>
      <c r="E41" s="12">
        <v>88</v>
      </c>
      <c r="F41" s="12">
        <v>90</v>
      </c>
      <c r="G41" s="12">
        <v>254</v>
      </c>
      <c r="H41" s="12">
        <v>39</v>
      </c>
      <c r="I41" s="16" t="s">
        <v>388</v>
      </c>
    </row>
    <row r="42" spans="1:9" ht="13.5" thickBot="1">
      <c r="A42" s="8">
        <v>129</v>
      </c>
      <c r="B42" s="6" t="s">
        <v>110</v>
      </c>
      <c r="C42" s="6" t="s">
        <v>111</v>
      </c>
      <c r="D42" s="12">
        <v>86</v>
      </c>
      <c r="E42" s="12">
        <v>82</v>
      </c>
      <c r="F42" s="12">
        <v>86</v>
      </c>
      <c r="G42" s="12">
        <v>254</v>
      </c>
      <c r="H42" s="12">
        <v>40</v>
      </c>
      <c r="I42" s="16" t="s">
        <v>388</v>
      </c>
    </row>
    <row r="43" spans="1:9" ht="13.5" thickBot="1">
      <c r="A43" s="8">
        <v>87</v>
      </c>
      <c r="B43" s="6" t="s">
        <v>114</v>
      </c>
      <c r="C43" s="6" t="s">
        <v>115</v>
      </c>
      <c r="D43" s="12">
        <v>82</v>
      </c>
      <c r="E43" s="12">
        <v>81</v>
      </c>
      <c r="F43" s="12">
        <v>90</v>
      </c>
      <c r="G43" s="12">
        <v>253</v>
      </c>
      <c r="H43" s="12">
        <v>41</v>
      </c>
      <c r="I43" s="16" t="s">
        <v>388</v>
      </c>
    </row>
    <row r="44" spans="1:9" ht="13.5" thickBot="1">
      <c r="A44" s="8">
        <v>90</v>
      </c>
      <c r="B44" s="6" t="s">
        <v>122</v>
      </c>
      <c r="C44" s="6" t="s">
        <v>123</v>
      </c>
      <c r="D44" s="12">
        <v>79</v>
      </c>
      <c r="E44" s="12">
        <v>85</v>
      </c>
      <c r="F44" s="12">
        <v>87</v>
      </c>
      <c r="G44" s="12">
        <v>251</v>
      </c>
      <c r="H44" s="12">
        <v>42</v>
      </c>
      <c r="I44" s="16" t="s">
        <v>388</v>
      </c>
    </row>
    <row r="45" spans="1:9" ht="13.5" thickBot="1">
      <c r="A45" s="8">
        <v>51</v>
      </c>
      <c r="B45" s="6" t="s">
        <v>130</v>
      </c>
      <c r="C45" s="6" t="s">
        <v>131</v>
      </c>
      <c r="D45" s="12">
        <v>82</v>
      </c>
      <c r="E45" s="12">
        <v>84</v>
      </c>
      <c r="F45" s="12">
        <v>83</v>
      </c>
      <c r="G45" s="12">
        <v>249</v>
      </c>
      <c r="H45" s="12">
        <v>43</v>
      </c>
      <c r="I45" s="16" t="s">
        <v>388</v>
      </c>
    </row>
    <row r="46" spans="1:9" ht="13.5" thickBot="1">
      <c r="A46" s="8">
        <v>165</v>
      </c>
      <c r="B46" s="6" t="s">
        <v>101</v>
      </c>
      <c r="C46" s="6" t="s">
        <v>138</v>
      </c>
      <c r="D46" s="12">
        <v>82</v>
      </c>
      <c r="E46" s="12">
        <v>82</v>
      </c>
      <c r="F46" s="12">
        <v>83</v>
      </c>
      <c r="G46" s="12">
        <v>247</v>
      </c>
      <c r="H46" s="12">
        <v>44</v>
      </c>
      <c r="I46" s="16" t="s">
        <v>388</v>
      </c>
    </row>
    <row r="47" spans="1:9" ht="13.5" thickBot="1">
      <c r="A47" s="8">
        <v>58</v>
      </c>
      <c r="B47" s="6" t="s">
        <v>136</v>
      </c>
      <c r="C47" s="6" t="s">
        <v>137</v>
      </c>
      <c r="D47" s="12">
        <v>82</v>
      </c>
      <c r="E47" s="12">
        <v>83</v>
      </c>
      <c r="F47" s="12">
        <v>82</v>
      </c>
      <c r="G47" s="12">
        <v>247</v>
      </c>
      <c r="H47" s="12">
        <v>45</v>
      </c>
      <c r="I47" s="16" t="s">
        <v>388</v>
      </c>
    </row>
    <row r="48" spans="1:9" ht="13.5" thickBot="1">
      <c r="A48" s="8">
        <v>137</v>
      </c>
      <c r="B48" s="6" t="s">
        <v>140</v>
      </c>
      <c r="C48" s="6" t="s">
        <v>141</v>
      </c>
      <c r="D48" s="12">
        <v>81</v>
      </c>
      <c r="E48" s="12">
        <v>81</v>
      </c>
      <c r="F48" s="12">
        <v>84</v>
      </c>
      <c r="G48" s="12">
        <v>246</v>
      </c>
      <c r="H48" s="12">
        <v>46</v>
      </c>
      <c r="I48" s="16" t="s">
        <v>388</v>
      </c>
    </row>
    <row r="49" spans="1:9" ht="13.5" thickBot="1">
      <c r="A49" s="8">
        <v>5</v>
      </c>
      <c r="B49" s="6" t="s">
        <v>142</v>
      </c>
      <c r="C49" s="6" t="s">
        <v>143</v>
      </c>
      <c r="D49" s="12">
        <v>80</v>
      </c>
      <c r="E49" s="12">
        <v>76</v>
      </c>
      <c r="F49" s="12">
        <v>89</v>
      </c>
      <c r="G49" s="12">
        <v>245</v>
      </c>
      <c r="H49" s="12">
        <v>47</v>
      </c>
      <c r="I49" s="16" t="s">
        <v>388</v>
      </c>
    </row>
    <row r="50" spans="1:9" ht="13.5" thickBot="1">
      <c r="A50" s="8">
        <v>1</v>
      </c>
      <c r="B50" s="6" t="s">
        <v>144</v>
      </c>
      <c r="C50" s="6" t="s">
        <v>145</v>
      </c>
      <c r="D50" s="12">
        <v>82</v>
      </c>
      <c r="E50" s="12">
        <v>79</v>
      </c>
      <c r="F50" s="12">
        <v>83</v>
      </c>
      <c r="G50" s="12">
        <v>244</v>
      </c>
      <c r="H50" s="12">
        <v>48</v>
      </c>
      <c r="I50" s="16" t="s">
        <v>388</v>
      </c>
    </row>
    <row r="51" spans="1:9" ht="13.5" thickBot="1">
      <c r="A51" s="8">
        <v>99</v>
      </c>
      <c r="B51" s="6" t="s">
        <v>148</v>
      </c>
      <c r="C51" s="6" t="s">
        <v>149</v>
      </c>
      <c r="D51" s="12">
        <v>84</v>
      </c>
      <c r="E51" s="12">
        <v>76</v>
      </c>
      <c r="F51" s="12">
        <v>83</v>
      </c>
      <c r="G51" s="12">
        <v>243</v>
      </c>
      <c r="H51" s="12">
        <v>49</v>
      </c>
      <c r="I51" s="16" t="s">
        <v>388</v>
      </c>
    </row>
    <row r="52" spans="1:9" ht="13.5" thickBot="1">
      <c r="A52" s="8">
        <v>28</v>
      </c>
      <c r="B52" s="6" t="s">
        <v>146</v>
      </c>
      <c r="C52" s="6" t="s">
        <v>147</v>
      </c>
      <c r="D52" s="12">
        <v>78</v>
      </c>
      <c r="E52" s="12">
        <v>85</v>
      </c>
      <c r="F52" s="12">
        <v>80</v>
      </c>
      <c r="G52" s="12">
        <v>243</v>
      </c>
      <c r="H52" s="12">
        <v>50</v>
      </c>
      <c r="I52" s="16" t="s">
        <v>388</v>
      </c>
    </row>
    <row r="53" spans="1:9" ht="13.5" thickBot="1">
      <c r="A53" s="8">
        <v>149</v>
      </c>
      <c r="B53" s="6" t="s">
        <v>34</v>
      </c>
      <c r="C53" s="6" t="s">
        <v>150</v>
      </c>
      <c r="D53" s="12">
        <v>82</v>
      </c>
      <c r="E53" s="12">
        <v>82</v>
      </c>
      <c r="F53" s="12">
        <v>79</v>
      </c>
      <c r="G53" s="12">
        <v>243</v>
      </c>
      <c r="H53" s="12">
        <v>51</v>
      </c>
      <c r="I53" s="16" t="s">
        <v>388</v>
      </c>
    </row>
    <row r="54" spans="1:9" ht="13.5" thickBot="1">
      <c r="A54" s="8">
        <v>206</v>
      </c>
      <c r="B54" s="6" t="s">
        <v>158</v>
      </c>
      <c r="C54" s="6" t="s">
        <v>159</v>
      </c>
      <c r="D54" s="12">
        <v>73</v>
      </c>
      <c r="E54" s="12">
        <v>84</v>
      </c>
      <c r="F54" s="12">
        <v>84</v>
      </c>
      <c r="G54" s="12">
        <v>241</v>
      </c>
      <c r="H54" s="12">
        <v>52</v>
      </c>
      <c r="I54" s="16" t="s">
        <v>388</v>
      </c>
    </row>
    <row r="55" spans="1:9" ht="13.5" thickBot="1">
      <c r="A55" s="8">
        <v>19</v>
      </c>
      <c r="B55" s="6" t="s">
        <v>154</v>
      </c>
      <c r="C55" s="6" t="s">
        <v>109</v>
      </c>
      <c r="D55" s="12">
        <v>82</v>
      </c>
      <c r="E55" s="12">
        <v>76</v>
      </c>
      <c r="F55" s="12">
        <v>83</v>
      </c>
      <c r="G55" s="12">
        <v>241</v>
      </c>
      <c r="H55" s="12">
        <v>53</v>
      </c>
      <c r="I55" s="16" t="s">
        <v>388</v>
      </c>
    </row>
    <row r="56" spans="1:9" ht="13.5" thickBot="1">
      <c r="A56" s="8">
        <v>33</v>
      </c>
      <c r="B56" s="6" t="s">
        <v>155</v>
      </c>
      <c r="C56" s="6" t="s">
        <v>156</v>
      </c>
      <c r="D56" s="12">
        <v>78</v>
      </c>
      <c r="E56" s="12">
        <v>82</v>
      </c>
      <c r="F56" s="12">
        <v>81</v>
      </c>
      <c r="G56" s="12">
        <v>241</v>
      </c>
      <c r="H56" s="12">
        <v>54</v>
      </c>
      <c r="I56" s="16" t="s">
        <v>388</v>
      </c>
    </row>
    <row r="57" spans="1:9" ht="13.5" thickBot="1">
      <c r="A57" s="8">
        <v>60</v>
      </c>
      <c r="B57" s="6" t="s">
        <v>34</v>
      </c>
      <c r="C57" s="6" t="s">
        <v>157</v>
      </c>
      <c r="D57" s="12">
        <v>80</v>
      </c>
      <c r="E57" s="12">
        <v>81</v>
      </c>
      <c r="F57" s="12">
        <v>80</v>
      </c>
      <c r="G57" s="12">
        <v>241</v>
      </c>
      <c r="H57" s="12">
        <v>55</v>
      </c>
      <c r="I57" s="16" t="s">
        <v>388</v>
      </c>
    </row>
    <row r="58" spans="1:9" ht="13.5" thickBot="1">
      <c r="A58" s="8">
        <v>171</v>
      </c>
      <c r="B58" s="6" t="s">
        <v>162</v>
      </c>
      <c r="C58" s="6" t="s">
        <v>163</v>
      </c>
      <c r="D58" s="12">
        <v>83</v>
      </c>
      <c r="E58" s="12">
        <v>74</v>
      </c>
      <c r="F58" s="12">
        <v>81</v>
      </c>
      <c r="G58" s="12">
        <v>238</v>
      </c>
      <c r="H58" s="12">
        <v>56</v>
      </c>
      <c r="I58" s="16" t="s">
        <v>384</v>
      </c>
    </row>
    <row r="59" spans="1:9" ht="13.5" thickBot="1">
      <c r="A59" s="8">
        <v>100</v>
      </c>
      <c r="B59" s="6" t="s">
        <v>110</v>
      </c>
      <c r="C59" s="6" t="s">
        <v>107</v>
      </c>
      <c r="D59" s="12">
        <v>74</v>
      </c>
      <c r="E59" s="12">
        <v>73</v>
      </c>
      <c r="F59" s="12">
        <v>90</v>
      </c>
      <c r="G59" s="12">
        <v>237</v>
      </c>
      <c r="H59" s="12">
        <v>57</v>
      </c>
      <c r="I59" s="16" t="s">
        <v>384</v>
      </c>
    </row>
    <row r="60" spans="1:9" ht="13.5" thickBot="1">
      <c r="A60" s="8">
        <v>88</v>
      </c>
      <c r="B60" s="6" t="s">
        <v>52</v>
      </c>
      <c r="C60" s="6" t="s">
        <v>164</v>
      </c>
      <c r="D60" s="12">
        <v>85</v>
      </c>
      <c r="E60" s="12">
        <v>77</v>
      </c>
      <c r="F60" s="12">
        <v>75</v>
      </c>
      <c r="G60" s="12">
        <v>237</v>
      </c>
      <c r="H60" s="12">
        <v>58</v>
      </c>
      <c r="I60" s="16" t="s">
        <v>384</v>
      </c>
    </row>
    <row r="61" spans="1:9" ht="13.5" thickBot="1">
      <c r="A61" s="8">
        <v>3</v>
      </c>
      <c r="B61" s="6" t="s">
        <v>165</v>
      </c>
      <c r="C61" s="6" t="s">
        <v>166</v>
      </c>
      <c r="D61" s="12">
        <v>68</v>
      </c>
      <c r="E61" s="12">
        <v>86</v>
      </c>
      <c r="F61" s="12">
        <v>82</v>
      </c>
      <c r="G61" s="12">
        <v>236</v>
      </c>
      <c r="H61" s="12">
        <v>59</v>
      </c>
      <c r="I61" s="16" t="s">
        <v>384</v>
      </c>
    </row>
    <row r="62" spans="1:9" ht="13.5" thickBot="1">
      <c r="A62" s="8">
        <v>177</v>
      </c>
      <c r="B62" s="6" t="s">
        <v>167</v>
      </c>
      <c r="C62" s="6" t="s">
        <v>168</v>
      </c>
      <c r="D62" s="12">
        <v>81</v>
      </c>
      <c r="E62" s="12">
        <v>78</v>
      </c>
      <c r="F62" s="12">
        <v>77</v>
      </c>
      <c r="G62" s="12">
        <v>236</v>
      </c>
      <c r="H62" s="12">
        <v>60</v>
      </c>
      <c r="I62" s="16" t="s">
        <v>384</v>
      </c>
    </row>
    <row r="63" spans="1:9" ht="13.5" thickBot="1">
      <c r="A63" s="8">
        <v>175</v>
      </c>
      <c r="B63" s="6" t="s">
        <v>169</v>
      </c>
      <c r="C63" s="6" t="s">
        <v>170</v>
      </c>
      <c r="D63" s="12">
        <v>75</v>
      </c>
      <c r="E63" s="12">
        <v>83</v>
      </c>
      <c r="F63" s="12">
        <v>77</v>
      </c>
      <c r="G63" s="12">
        <v>235</v>
      </c>
      <c r="H63" s="12">
        <v>61</v>
      </c>
      <c r="I63" s="16" t="s">
        <v>384</v>
      </c>
    </row>
    <row r="64" spans="1:9" ht="13.5" thickBot="1">
      <c r="A64" s="8">
        <v>4</v>
      </c>
      <c r="B64" s="6" t="s">
        <v>171</v>
      </c>
      <c r="C64" s="6" t="s">
        <v>172</v>
      </c>
      <c r="D64" s="12">
        <v>72</v>
      </c>
      <c r="E64" s="12">
        <v>83</v>
      </c>
      <c r="F64" s="12">
        <v>77</v>
      </c>
      <c r="G64" s="12">
        <v>232</v>
      </c>
      <c r="H64" s="12">
        <v>62</v>
      </c>
      <c r="I64" s="16" t="s">
        <v>384</v>
      </c>
    </row>
    <row r="65" spans="1:9" ht="13.5" thickBot="1">
      <c r="A65" s="8">
        <v>203</v>
      </c>
      <c r="B65" s="6" t="s">
        <v>173</v>
      </c>
      <c r="C65" s="6" t="s">
        <v>174</v>
      </c>
      <c r="D65" s="12">
        <v>83</v>
      </c>
      <c r="E65" s="12">
        <v>78</v>
      </c>
      <c r="F65" s="12">
        <v>71</v>
      </c>
      <c r="G65" s="12">
        <v>232</v>
      </c>
      <c r="H65" s="12">
        <v>63</v>
      </c>
      <c r="I65" s="16" t="s">
        <v>384</v>
      </c>
    </row>
    <row r="66" spans="1:9" ht="13.5" thickBot="1">
      <c r="A66" s="8">
        <v>59</v>
      </c>
      <c r="B66" s="6" t="s">
        <v>175</v>
      </c>
      <c r="C66" s="6" t="s">
        <v>176</v>
      </c>
      <c r="D66" s="12">
        <v>77</v>
      </c>
      <c r="E66" s="12">
        <v>85</v>
      </c>
      <c r="F66" s="12">
        <v>68</v>
      </c>
      <c r="G66" s="12">
        <v>230</v>
      </c>
      <c r="H66" s="12">
        <v>64</v>
      </c>
      <c r="I66" s="16" t="s">
        <v>384</v>
      </c>
    </row>
    <row r="67" spans="1:9" ht="13.5" thickBot="1">
      <c r="A67" s="8">
        <v>136</v>
      </c>
      <c r="B67" s="6" t="s">
        <v>165</v>
      </c>
      <c r="C67" s="6" t="s">
        <v>183</v>
      </c>
      <c r="D67" s="12">
        <v>69</v>
      </c>
      <c r="E67" s="12">
        <v>75</v>
      </c>
      <c r="F67" s="12">
        <v>85</v>
      </c>
      <c r="G67" s="12">
        <v>229</v>
      </c>
      <c r="H67" s="12">
        <v>65</v>
      </c>
      <c r="I67" s="16" t="s">
        <v>384</v>
      </c>
    </row>
    <row r="68" spans="1:9" ht="13.5" thickBot="1">
      <c r="A68" s="8">
        <v>120</v>
      </c>
      <c r="B68" s="6" t="s">
        <v>181</v>
      </c>
      <c r="C68" s="6" t="s">
        <v>182</v>
      </c>
      <c r="D68" s="12">
        <v>79</v>
      </c>
      <c r="E68" s="12">
        <v>68</v>
      </c>
      <c r="F68" s="12">
        <v>82</v>
      </c>
      <c r="G68" s="12">
        <v>229</v>
      </c>
      <c r="H68" s="12">
        <v>66</v>
      </c>
      <c r="I68" s="16" t="s">
        <v>384</v>
      </c>
    </row>
    <row r="69" spans="1:9" ht="13.5" thickBot="1">
      <c r="A69" s="8">
        <v>56</v>
      </c>
      <c r="B69" s="6" t="s">
        <v>179</v>
      </c>
      <c r="C69" s="6" t="s">
        <v>180</v>
      </c>
      <c r="D69" s="12">
        <v>73</v>
      </c>
      <c r="E69" s="12">
        <v>78</v>
      </c>
      <c r="F69" s="12">
        <v>78</v>
      </c>
      <c r="G69" s="12">
        <v>229</v>
      </c>
      <c r="H69" s="12">
        <v>67</v>
      </c>
      <c r="I69" s="16" t="s">
        <v>384</v>
      </c>
    </row>
    <row r="70" spans="1:9" ht="13.5" thickBot="1">
      <c r="A70" s="8">
        <v>204</v>
      </c>
      <c r="B70" s="6" t="s">
        <v>42</v>
      </c>
      <c r="C70" s="6" t="s">
        <v>184</v>
      </c>
      <c r="D70" s="12">
        <v>79</v>
      </c>
      <c r="E70" s="12">
        <v>74</v>
      </c>
      <c r="F70" s="12">
        <v>76</v>
      </c>
      <c r="G70" s="12">
        <v>229</v>
      </c>
      <c r="H70" s="12">
        <v>68</v>
      </c>
      <c r="I70" s="16" t="s">
        <v>384</v>
      </c>
    </row>
    <row r="71" spans="1:9" ht="13.5" thickBot="1">
      <c r="A71" s="8">
        <v>111</v>
      </c>
      <c r="B71" s="6" t="s">
        <v>187</v>
      </c>
      <c r="C71" s="6" t="s">
        <v>188</v>
      </c>
      <c r="D71" s="12">
        <v>76</v>
      </c>
      <c r="E71" s="12">
        <v>77</v>
      </c>
      <c r="F71" s="12">
        <v>75</v>
      </c>
      <c r="G71" s="12">
        <v>228</v>
      </c>
      <c r="H71" s="12">
        <v>69</v>
      </c>
      <c r="I71" s="16" t="s">
        <v>384</v>
      </c>
    </row>
    <row r="72" spans="1:9" ht="13.5" thickBot="1">
      <c r="A72" s="8">
        <v>7</v>
      </c>
      <c r="B72" s="6" t="s">
        <v>185</v>
      </c>
      <c r="C72" s="6" t="s">
        <v>186</v>
      </c>
      <c r="D72" s="12">
        <v>77</v>
      </c>
      <c r="E72" s="12">
        <v>81</v>
      </c>
      <c r="F72" s="12">
        <v>70</v>
      </c>
      <c r="G72" s="12">
        <v>228</v>
      </c>
      <c r="H72" s="12">
        <v>70</v>
      </c>
      <c r="I72" s="16" t="s">
        <v>384</v>
      </c>
    </row>
    <row r="73" spans="1:9" ht="13.5" thickBot="1">
      <c r="A73" s="8">
        <v>131</v>
      </c>
      <c r="B73" s="6" t="s">
        <v>165</v>
      </c>
      <c r="C73" s="6" t="s">
        <v>192</v>
      </c>
      <c r="D73" s="12">
        <v>76</v>
      </c>
      <c r="E73" s="12">
        <v>83</v>
      </c>
      <c r="F73" s="12">
        <v>66</v>
      </c>
      <c r="G73" s="12">
        <v>225</v>
      </c>
      <c r="H73" s="12">
        <v>71</v>
      </c>
      <c r="I73" s="16" t="s">
        <v>384</v>
      </c>
    </row>
    <row r="74" spans="1:9" ht="13.5" thickBot="1">
      <c r="A74" s="8">
        <v>8</v>
      </c>
      <c r="B74" s="6" t="s">
        <v>193</v>
      </c>
      <c r="C74" s="6" t="s">
        <v>194</v>
      </c>
      <c r="D74" s="12">
        <v>78</v>
      </c>
      <c r="E74" s="12">
        <v>70</v>
      </c>
      <c r="F74" s="12">
        <v>73</v>
      </c>
      <c r="G74" s="12">
        <v>221</v>
      </c>
      <c r="H74" s="12">
        <v>72</v>
      </c>
      <c r="I74" s="16" t="s">
        <v>389</v>
      </c>
    </row>
    <row r="75" spans="1:9" ht="13.5" thickBot="1">
      <c r="A75" s="8">
        <v>176</v>
      </c>
      <c r="B75" s="6" t="s">
        <v>199</v>
      </c>
      <c r="C75" s="6" t="s">
        <v>200</v>
      </c>
      <c r="D75" s="12">
        <v>59</v>
      </c>
      <c r="E75" s="12">
        <v>78</v>
      </c>
      <c r="F75" s="12">
        <v>82</v>
      </c>
      <c r="G75" s="12">
        <v>219</v>
      </c>
      <c r="H75" s="12">
        <v>73</v>
      </c>
      <c r="I75" s="16" t="s">
        <v>389</v>
      </c>
    </row>
    <row r="76" spans="1:9" ht="13.5" thickBot="1">
      <c r="A76" s="8">
        <v>97</v>
      </c>
      <c r="B76" s="6" t="s">
        <v>197</v>
      </c>
      <c r="C76" s="6" t="s">
        <v>198</v>
      </c>
      <c r="D76" s="12">
        <v>78</v>
      </c>
      <c r="E76" s="12">
        <v>65</v>
      </c>
      <c r="F76" s="12">
        <v>76</v>
      </c>
      <c r="G76" s="12">
        <v>219</v>
      </c>
      <c r="H76" s="12">
        <v>74</v>
      </c>
      <c r="I76" s="16" t="s">
        <v>389</v>
      </c>
    </row>
    <row r="77" spans="1:9" ht="13.5" thickBot="1">
      <c r="A77" s="8">
        <v>180</v>
      </c>
      <c r="B77" s="6" t="s">
        <v>203</v>
      </c>
      <c r="C77" s="6" t="s">
        <v>204</v>
      </c>
      <c r="D77" s="12">
        <v>68</v>
      </c>
      <c r="E77" s="12">
        <v>65</v>
      </c>
      <c r="F77" s="12">
        <v>78</v>
      </c>
      <c r="G77" s="12">
        <v>211</v>
      </c>
      <c r="H77" s="12">
        <v>75</v>
      </c>
      <c r="I77" s="16" t="s">
        <v>389</v>
      </c>
    </row>
    <row r="78" spans="1:9" ht="13.5" thickBot="1">
      <c r="A78" s="8">
        <v>9</v>
      </c>
      <c r="B78" s="6" t="s">
        <v>209</v>
      </c>
      <c r="C78" s="6" t="s">
        <v>210</v>
      </c>
      <c r="D78" s="12">
        <v>72</v>
      </c>
      <c r="E78" s="12">
        <v>55</v>
      </c>
      <c r="F78" s="12">
        <v>71</v>
      </c>
      <c r="G78" s="12">
        <v>198</v>
      </c>
      <c r="H78" s="12">
        <v>76</v>
      </c>
      <c r="I78" s="16" t="s">
        <v>390</v>
      </c>
    </row>
    <row r="79" spans="1:9" ht="13.5" thickBot="1">
      <c r="A79" s="8">
        <v>92</v>
      </c>
      <c r="B79" s="6" t="s">
        <v>211</v>
      </c>
      <c r="C79" s="6" t="s">
        <v>212</v>
      </c>
      <c r="D79" s="12">
        <v>50</v>
      </c>
      <c r="E79" s="12">
        <v>72</v>
      </c>
      <c r="F79" s="12">
        <v>74</v>
      </c>
      <c r="G79" s="12">
        <v>196</v>
      </c>
      <c r="H79" s="12">
        <v>77</v>
      </c>
      <c r="I79" s="16" t="s">
        <v>390</v>
      </c>
    </row>
    <row r="80" spans="1:9" ht="13.5" thickBot="1">
      <c r="A80" s="8">
        <v>68</v>
      </c>
      <c r="B80" s="6" t="s">
        <v>217</v>
      </c>
      <c r="C80" s="6" t="s">
        <v>218</v>
      </c>
      <c r="D80" s="12">
        <v>61</v>
      </c>
      <c r="E80" s="12">
        <v>58</v>
      </c>
      <c r="F80" s="12">
        <v>67</v>
      </c>
      <c r="G80" s="12">
        <v>186</v>
      </c>
      <c r="H80" s="12">
        <v>78</v>
      </c>
      <c r="I80" s="16" t="s">
        <v>390</v>
      </c>
    </row>
    <row r="81" spans="1:9" ht="13.5" thickBot="1">
      <c r="A81" s="8">
        <v>183</v>
      </c>
      <c r="B81" s="6" t="s">
        <v>219</v>
      </c>
      <c r="C81" s="6" t="s">
        <v>220</v>
      </c>
      <c r="D81" s="12">
        <v>57</v>
      </c>
      <c r="E81" s="12">
        <v>65</v>
      </c>
      <c r="F81" s="12">
        <v>62</v>
      </c>
      <c r="G81" s="12">
        <v>184</v>
      </c>
      <c r="H81" s="12">
        <v>79</v>
      </c>
      <c r="I81" s="16" t="s">
        <v>390</v>
      </c>
    </row>
    <row r="82" spans="1:9" ht="13.5" thickBot="1">
      <c r="A82" s="8">
        <v>154</v>
      </c>
      <c r="B82" s="6" t="s">
        <v>99</v>
      </c>
      <c r="C82" s="6" t="s">
        <v>221</v>
      </c>
      <c r="D82" s="12">
        <v>62</v>
      </c>
      <c r="E82" s="12">
        <v>62</v>
      </c>
      <c r="F82" s="12">
        <v>59</v>
      </c>
      <c r="G82" s="12">
        <v>183</v>
      </c>
      <c r="H82" s="12">
        <v>80</v>
      </c>
      <c r="I82" s="16" t="s">
        <v>390</v>
      </c>
    </row>
    <row r="83" spans="1:9" ht="13.5" thickBot="1">
      <c r="A83" s="8">
        <v>201</v>
      </c>
      <c r="B83" s="6" t="s">
        <v>84</v>
      </c>
      <c r="C83" s="6" t="s">
        <v>222</v>
      </c>
      <c r="D83" s="12">
        <v>55</v>
      </c>
      <c r="E83" s="12">
        <v>55</v>
      </c>
      <c r="F83" s="12">
        <v>72</v>
      </c>
      <c r="G83" s="12">
        <v>182</v>
      </c>
      <c r="H83" s="12">
        <v>81</v>
      </c>
      <c r="I83" s="16" t="s">
        <v>390</v>
      </c>
    </row>
    <row r="84" spans="1:9" ht="13.5" thickBot="1">
      <c r="A84" s="8">
        <v>182</v>
      </c>
      <c r="B84" s="6" t="s">
        <v>223</v>
      </c>
      <c r="C84" s="6" t="s">
        <v>224</v>
      </c>
      <c r="D84" s="12">
        <v>61</v>
      </c>
      <c r="E84" s="12">
        <v>36</v>
      </c>
      <c r="F84" s="12">
        <v>82</v>
      </c>
      <c r="G84" s="12">
        <v>179</v>
      </c>
      <c r="H84" s="12">
        <v>82</v>
      </c>
      <c r="I84" s="16" t="s">
        <v>390</v>
      </c>
    </row>
    <row r="85" spans="1:9" ht="13.5" thickBot="1">
      <c r="A85" s="8">
        <v>91</v>
      </c>
      <c r="B85" s="6" t="s">
        <v>48</v>
      </c>
      <c r="C85" s="6" t="s">
        <v>227</v>
      </c>
      <c r="D85" s="12">
        <v>54</v>
      </c>
      <c r="E85" s="12">
        <v>55</v>
      </c>
      <c r="F85" s="12">
        <v>66</v>
      </c>
      <c r="G85" s="12">
        <v>175</v>
      </c>
      <c r="H85" s="12">
        <v>83</v>
      </c>
      <c r="I85" s="16" t="s">
        <v>390</v>
      </c>
    </row>
    <row r="86" spans="1:9" ht="13.5" thickBot="1">
      <c r="A86" s="8">
        <v>167</v>
      </c>
      <c r="B86" s="6" t="s">
        <v>231</v>
      </c>
      <c r="C86" s="6" t="s">
        <v>232</v>
      </c>
      <c r="D86" s="12">
        <v>43</v>
      </c>
      <c r="E86" s="12">
        <v>71</v>
      </c>
      <c r="F86" s="12">
        <v>46</v>
      </c>
      <c r="G86" s="12">
        <v>160</v>
      </c>
      <c r="H86" s="12">
        <v>84</v>
      </c>
      <c r="I86" s="16" t="s">
        <v>391</v>
      </c>
    </row>
    <row r="87" spans="1:9" ht="13.5" thickBot="1">
      <c r="A87" s="8">
        <v>16</v>
      </c>
      <c r="B87" s="6" t="s">
        <v>233</v>
      </c>
      <c r="C87" s="6" t="s">
        <v>234</v>
      </c>
      <c r="D87" s="12">
        <v>46</v>
      </c>
      <c r="E87" s="12">
        <v>41</v>
      </c>
      <c r="F87" s="12">
        <v>69</v>
      </c>
      <c r="G87" s="12">
        <v>156</v>
      </c>
      <c r="H87" s="12">
        <v>85</v>
      </c>
      <c r="I87" s="16" t="s">
        <v>391</v>
      </c>
    </row>
    <row r="88" spans="1:9" ht="13.5" thickBot="1">
      <c r="A88" s="8">
        <v>172</v>
      </c>
      <c r="B88" s="6" t="s">
        <v>241</v>
      </c>
      <c r="C88" s="6" t="s">
        <v>242</v>
      </c>
      <c r="D88" s="12">
        <v>0</v>
      </c>
      <c r="E88" s="12">
        <v>10</v>
      </c>
      <c r="F88" s="12">
        <v>0</v>
      </c>
      <c r="G88" s="12">
        <v>10</v>
      </c>
      <c r="H88" s="12">
        <v>86</v>
      </c>
    </row>
    <row r="89" spans="1:9" ht="13.5" thickBot="1">
      <c r="D89" s="74" t="s">
        <v>383</v>
      </c>
      <c r="E89" s="75"/>
      <c r="F89" s="76"/>
      <c r="G89" s="31">
        <f>SUM(G3:G88)/86</f>
        <v>241.40697674418604</v>
      </c>
      <c r="H89" s="16" t="s">
        <v>388</v>
      </c>
    </row>
  </sheetData>
  <sortState ref="A3:G88">
    <sortCondition descending="1" ref="G3:G88"/>
    <sortCondition descending="1" ref="F3:F88"/>
    <sortCondition descending="1" ref="E3:E88"/>
    <sortCondition descending="1" ref="D3:D88"/>
  </sortState>
  <mergeCells count="1">
    <mergeCell ref="D89:F8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K28" sqref="K28"/>
    </sheetView>
  </sheetViews>
  <sheetFormatPr defaultColWidth="9.140625" defaultRowHeight="12.75"/>
  <cols>
    <col min="1" max="1" width="4" style="5" bestFit="1" customWidth="1"/>
    <col min="2" max="2" width="13.7109375" style="5" customWidth="1"/>
    <col min="3" max="3" width="17.28515625" style="5" customWidth="1"/>
    <col min="4" max="8" width="9.140625" style="16"/>
    <col min="9" max="9" width="11.42578125" style="16" bestFit="1" customWidth="1"/>
    <col min="10" max="10" width="11.42578125" style="5" bestFit="1" customWidth="1"/>
    <col min="11" max="16384" width="9.140625" style="5"/>
  </cols>
  <sheetData>
    <row r="1" spans="1:12" ht="13.5" thickBot="1">
      <c r="A1" s="6"/>
      <c r="B1" s="7" t="s">
        <v>29</v>
      </c>
      <c r="C1" s="6"/>
      <c r="D1" s="12"/>
      <c r="E1" s="12"/>
      <c r="F1" s="12"/>
      <c r="G1" s="12"/>
      <c r="H1" s="12"/>
    </row>
    <row r="2" spans="1:12" ht="13.5" thickBot="1">
      <c r="A2" s="9" t="s">
        <v>1</v>
      </c>
      <c r="B2" s="48" t="s">
        <v>30</v>
      </c>
      <c r="C2" s="48" t="s">
        <v>31</v>
      </c>
      <c r="D2" s="49">
        <v>1</v>
      </c>
      <c r="E2" s="49">
        <v>2</v>
      </c>
      <c r="F2" s="49">
        <v>3</v>
      </c>
      <c r="G2" s="49" t="s">
        <v>6</v>
      </c>
      <c r="H2" s="49" t="s">
        <v>7</v>
      </c>
      <c r="I2" s="38" t="s">
        <v>385</v>
      </c>
    </row>
    <row r="3" spans="1:12" ht="13.5" thickBot="1">
      <c r="A3" s="47">
        <v>135</v>
      </c>
      <c r="B3" s="53" t="s">
        <v>72</v>
      </c>
      <c r="C3" s="54" t="s">
        <v>73</v>
      </c>
      <c r="D3" s="55">
        <v>86</v>
      </c>
      <c r="E3" s="55">
        <v>94</v>
      </c>
      <c r="F3" s="55">
        <v>86</v>
      </c>
      <c r="G3" s="55">
        <v>266</v>
      </c>
      <c r="H3" s="56">
        <v>1</v>
      </c>
      <c r="I3" s="16" t="s">
        <v>389</v>
      </c>
    </row>
    <row r="4" spans="1:12" ht="13.5" thickBot="1">
      <c r="A4" s="47">
        <v>166</v>
      </c>
      <c r="B4" s="57" t="s">
        <v>80</v>
      </c>
      <c r="C4" s="19" t="s">
        <v>81</v>
      </c>
      <c r="D4" s="20">
        <v>91</v>
      </c>
      <c r="E4" s="20">
        <v>84</v>
      </c>
      <c r="F4" s="20">
        <v>89</v>
      </c>
      <c r="G4" s="20">
        <v>264</v>
      </c>
      <c r="H4" s="58">
        <v>2</v>
      </c>
      <c r="I4" s="16" t="s">
        <v>389</v>
      </c>
    </row>
    <row r="5" spans="1:12" ht="13.5" thickBot="1">
      <c r="A5" s="47">
        <v>164</v>
      </c>
      <c r="B5" s="59" t="s">
        <v>97</v>
      </c>
      <c r="C5" s="60" t="s">
        <v>98</v>
      </c>
      <c r="D5" s="61">
        <v>86</v>
      </c>
      <c r="E5" s="61">
        <v>86</v>
      </c>
      <c r="F5" s="61">
        <v>88</v>
      </c>
      <c r="G5" s="61">
        <v>260</v>
      </c>
      <c r="H5" s="62">
        <v>3</v>
      </c>
      <c r="I5" s="16" t="s">
        <v>389</v>
      </c>
    </row>
    <row r="6" spans="1:12" ht="13.5" thickBot="1">
      <c r="A6" s="8">
        <v>84</v>
      </c>
      <c r="B6" s="50" t="s">
        <v>116</v>
      </c>
      <c r="C6" s="50" t="s">
        <v>117</v>
      </c>
      <c r="D6" s="51">
        <v>75</v>
      </c>
      <c r="E6" s="51">
        <v>86</v>
      </c>
      <c r="F6" s="51">
        <v>91</v>
      </c>
      <c r="G6" s="51">
        <v>252</v>
      </c>
      <c r="H6" s="51">
        <v>4</v>
      </c>
      <c r="I6" s="16" t="s">
        <v>388</v>
      </c>
    </row>
    <row r="7" spans="1:12" ht="13.5" thickBot="1">
      <c r="A7" s="8">
        <v>168</v>
      </c>
      <c r="B7" s="6" t="s">
        <v>118</v>
      </c>
      <c r="C7" s="6" t="s">
        <v>119</v>
      </c>
      <c r="D7" s="12">
        <v>82</v>
      </c>
      <c r="E7" s="12">
        <v>85</v>
      </c>
      <c r="F7" s="12">
        <v>85</v>
      </c>
      <c r="G7" s="12">
        <v>252</v>
      </c>
      <c r="H7" s="12">
        <v>5</v>
      </c>
      <c r="I7" s="16" t="s">
        <v>388</v>
      </c>
    </row>
    <row r="8" spans="1:12" ht="13.5" thickBot="1">
      <c r="A8" s="8">
        <v>26</v>
      </c>
      <c r="B8" s="6" t="s">
        <v>120</v>
      </c>
      <c r="C8" s="6" t="s">
        <v>121</v>
      </c>
      <c r="D8" s="12">
        <v>83</v>
      </c>
      <c r="E8" s="12">
        <v>83</v>
      </c>
      <c r="F8" s="12">
        <v>85</v>
      </c>
      <c r="G8" s="12">
        <v>251</v>
      </c>
      <c r="H8" s="12">
        <v>6</v>
      </c>
      <c r="I8" s="16" t="s">
        <v>388</v>
      </c>
    </row>
    <row r="9" spans="1:12" ht="13.5" thickBot="1">
      <c r="A9" s="8">
        <v>178</v>
      </c>
      <c r="B9" s="6" t="s">
        <v>126</v>
      </c>
      <c r="C9" s="6" t="s">
        <v>127</v>
      </c>
      <c r="D9" s="12">
        <v>81</v>
      </c>
      <c r="E9" s="12">
        <v>89</v>
      </c>
      <c r="F9" s="12">
        <v>81</v>
      </c>
      <c r="G9" s="12">
        <v>251</v>
      </c>
      <c r="H9" s="12">
        <v>7</v>
      </c>
      <c r="I9" s="16" t="s">
        <v>388</v>
      </c>
    </row>
    <row r="10" spans="1:12" ht="13.5" thickBot="1">
      <c r="A10" s="8">
        <v>163</v>
      </c>
      <c r="B10" s="6" t="s">
        <v>124</v>
      </c>
      <c r="C10" s="6" t="s">
        <v>125</v>
      </c>
      <c r="D10" s="12">
        <v>89</v>
      </c>
      <c r="E10" s="12">
        <v>87</v>
      </c>
      <c r="F10" s="12">
        <v>75</v>
      </c>
      <c r="G10" s="12">
        <v>251</v>
      </c>
      <c r="H10" s="12">
        <v>8</v>
      </c>
      <c r="I10" s="16" t="s">
        <v>388</v>
      </c>
    </row>
    <row r="11" spans="1:12" ht="13.5" thickBot="1">
      <c r="A11" s="8">
        <v>15</v>
      </c>
      <c r="B11" s="6" t="s">
        <v>128</v>
      </c>
      <c r="C11" s="6" t="s">
        <v>129</v>
      </c>
      <c r="D11" s="12">
        <v>82</v>
      </c>
      <c r="E11" s="12">
        <v>79</v>
      </c>
      <c r="F11" s="12">
        <v>89</v>
      </c>
      <c r="G11" s="12">
        <v>250</v>
      </c>
      <c r="H11" s="12">
        <v>9</v>
      </c>
      <c r="I11" s="16" t="s">
        <v>388</v>
      </c>
      <c r="J11" s="32" t="s">
        <v>387</v>
      </c>
      <c r="K11" s="45">
        <f>SUM(G3:G11)/9</f>
        <v>255.22222222222223</v>
      </c>
      <c r="L11" s="5" t="s">
        <v>388</v>
      </c>
    </row>
    <row r="12" spans="1:12" ht="13.5" thickBot="1">
      <c r="A12" s="8">
        <v>173</v>
      </c>
      <c r="B12" s="19" t="s">
        <v>134</v>
      </c>
      <c r="C12" s="19" t="s">
        <v>135</v>
      </c>
      <c r="D12" s="20">
        <v>78</v>
      </c>
      <c r="E12" s="20">
        <v>86</v>
      </c>
      <c r="F12" s="20">
        <v>84</v>
      </c>
      <c r="G12" s="20">
        <v>248</v>
      </c>
      <c r="H12" s="12">
        <v>10</v>
      </c>
      <c r="I12" s="16" t="s">
        <v>388</v>
      </c>
      <c r="J12" s="5" t="s">
        <v>379</v>
      </c>
      <c r="K12" s="32" t="s">
        <v>380</v>
      </c>
    </row>
    <row r="13" spans="1:12" ht="13.5" thickBot="1">
      <c r="A13" s="8">
        <v>147</v>
      </c>
      <c r="B13" s="22" t="s">
        <v>132</v>
      </c>
      <c r="C13" s="22" t="s">
        <v>133</v>
      </c>
      <c r="D13" s="23">
        <v>84</v>
      </c>
      <c r="E13" s="23">
        <v>87</v>
      </c>
      <c r="F13" s="23">
        <v>77</v>
      </c>
      <c r="G13" s="23">
        <v>248</v>
      </c>
      <c r="H13" s="12">
        <v>11</v>
      </c>
      <c r="I13" s="16" t="s">
        <v>388</v>
      </c>
      <c r="K13" s="5" t="s">
        <v>381</v>
      </c>
    </row>
    <row r="14" spans="1:12" ht="13.5" thickBot="1">
      <c r="A14" s="8">
        <v>179</v>
      </c>
      <c r="B14" s="24" t="s">
        <v>139</v>
      </c>
      <c r="C14" s="24" t="s">
        <v>138</v>
      </c>
      <c r="D14" s="25">
        <v>78</v>
      </c>
      <c r="E14" s="25">
        <v>84</v>
      </c>
      <c r="F14" s="25">
        <v>85</v>
      </c>
      <c r="G14" s="25">
        <v>247</v>
      </c>
      <c r="H14" s="12">
        <v>12</v>
      </c>
      <c r="I14" s="16" t="s">
        <v>388</v>
      </c>
      <c r="K14" s="5" t="s">
        <v>382</v>
      </c>
    </row>
    <row r="15" spans="1:12" ht="13.5" thickBot="1">
      <c r="A15" s="8">
        <v>159</v>
      </c>
      <c r="B15" s="6" t="s">
        <v>139</v>
      </c>
      <c r="C15" s="6" t="s">
        <v>151</v>
      </c>
      <c r="D15" s="12">
        <v>87</v>
      </c>
      <c r="E15" s="12">
        <v>75</v>
      </c>
      <c r="F15" s="12">
        <v>81</v>
      </c>
      <c r="G15" s="12">
        <v>243</v>
      </c>
      <c r="H15" s="12">
        <v>13</v>
      </c>
      <c r="I15" s="16" t="s">
        <v>388</v>
      </c>
    </row>
    <row r="16" spans="1:12" ht="13.5" thickBot="1">
      <c r="A16" s="8">
        <v>160</v>
      </c>
      <c r="B16" s="6" t="s">
        <v>152</v>
      </c>
      <c r="C16" s="6" t="s">
        <v>153</v>
      </c>
      <c r="D16" s="12">
        <v>83</v>
      </c>
      <c r="E16" s="12">
        <v>84</v>
      </c>
      <c r="F16" s="12">
        <v>76</v>
      </c>
      <c r="G16" s="12">
        <v>243</v>
      </c>
      <c r="H16" s="12">
        <v>14</v>
      </c>
      <c r="I16" s="16" t="s">
        <v>388</v>
      </c>
    </row>
    <row r="17" spans="1:9" ht="13.5" thickBot="1">
      <c r="A17" s="8">
        <v>23</v>
      </c>
      <c r="B17" s="6" t="s">
        <v>160</v>
      </c>
      <c r="C17" s="6" t="s">
        <v>161</v>
      </c>
      <c r="D17" s="12">
        <v>82</v>
      </c>
      <c r="E17" s="12">
        <v>76</v>
      </c>
      <c r="F17" s="12">
        <v>82</v>
      </c>
      <c r="G17" s="12">
        <v>240</v>
      </c>
      <c r="H17" s="12">
        <v>15</v>
      </c>
      <c r="I17" s="16" t="s">
        <v>388</v>
      </c>
    </row>
    <row r="18" spans="1:9" ht="13.5" thickBot="1">
      <c r="A18" s="8">
        <v>127</v>
      </c>
      <c r="B18" s="6" t="s">
        <v>177</v>
      </c>
      <c r="C18" s="6" t="s">
        <v>178</v>
      </c>
      <c r="D18" s="12">
        <v>82</v>
      </c>
      <c r="E18" s="12">
        <v>72</v>
      </c>
      <c r="F18" s="12">
        <v>76</v>
      </c>
      <c r="G18" s="12">
        <v>230</v>
      </c>
      <c r="H18" s="12">
        <v>16</v>
      </c>
      <c r="I18" s="16" t="s">
        <v>384</v>
      </c>
    </row>
    <row r="19" spans="1:9" ht="13.5" thickBot="1">
      <c r="A19" s="8">
        <v>140</v>
      </c>
      <c r="B19" s="6" t="s">
        <v>189</v>
      </c>
      <c r="C19" s="6" t="s">
        <v>190</v>
      </c>
      <c r="D19" s="12">
        <v>67</v>
      </c>
      <c r="E19" s="12">
        <v>74</v>
      </c>
      <c r="F19" s="12">
        <v>86</v>
      </c>
      <c r="G19" s="12">
        <v>227</v>
      </c>
      <c r="H19" s="12">
        <v>17</v>
      </c>
      <c r="I19" s="16" t="s">
        <v>384</v>
      </c>
    </row>
    <row r="20" spans="1:9" ht="13.5" thickBot="1">
      <c r="A20" s="8">
        <v>13</v>
      </c>
      <c r="B20" s="6" t="s">
        <v>191</v>
      </c>
      <c r="C20" s="6" t="s">
        <v>59</v>
      </c>
      <c r="D20" s="12">
        <v>66</v>
      </c>
      <c r="E20" s="12">
        <v>83</v>
      </c>
      <c r="F20" s="12">
        <v>77</v>
      </c>
      <c r="G20" s="12">
        <v>226</v>
      </c>
      <c r="H20" s="12">
        <v>18</v>
      </c>
      <c r="I20" s="16" t="s">
        <v>384</v>
      </c>
    </row>
    <row r="21" spans="1:9" ht="13.5" thickBot="1">
      <c r="A21" s="8">
        <v>184</v>
      </c>
      <c r="B21" s="6" t="s">
        <v>195</v>
      </c>
      <c r="C21" s="6" t="s">
        <v>196</v>
      </c>
      <c r="D21" s="12">
        <v>79</v>
      </c>
      <c r="E21" s="12">
        <v>66</v>
      </c>
      <c r="F21" s="12">
        <v>75</v>
      </c>
      <c r="G21" s="12">
        <v>220</v>
      </c>
      <c r="H21" s="12">
        <v>19</v>
      </c>
      <c r="I21" s="16" t="s">
        <v>389</v>
      </c>
    </row>
    <row r="22" spans="1:9" ht="13.5" thickBot="1">
      <c r="A22" s="8">
        <v>70</v>
      </c>
      <c r="B22" s="6" t="s">
        <v>201</v>
      </c>
      <c r="C22" s="6" t="s">
        <v>202</v>
      </c>
      <c r="D22" s="12">
        <v>72</v>
      </c>
      <c r="E22" s="12">
        <v>69</v>
      </c>
      <c r="F22" s="12">
        <v>72</v>
      </c>
      <c r="G22" s="12">
        <v>213</v>
      </c>
      <c r="H22" s="12">
        <v>20</v>
      </c>
      <c r="I22" s="16" t="s">
        <v>389</v>
      </c>
    </row>
    <row r="23" spans="1:9" ht="13.5" thickBot="1">
      <c r="A23" s="8">
        <v>202</v>
      </c>
      <c r="B23" s="6" t="s">
        <v>205</v>
      </c>
      <c r="C23" s="6" t="s">
        <v>206</v>
      </c>
      <c r="D23" s="12">
        <v>71</v>
      </c>
      <c r="E23" s="12">
        <v>68</v>
      </c>
      <c r="F23" s="12">
        <v>70</v>
      </c>
      <c r="G23" s="12">
        <v>209</v>
      </c>
      <c r="H23" s="12">
        <v>21</v>
      </c>
      <c r="I23" s="16" t="s">
        <v>389</v>
      </c>
    </row>
    <row r="24" spans="1:9" ht="13.5" thickBot="1">
      <c r="A24" s="8">
        <v>64</v>
      </c>
      <c r="B24" s="6" t="s">
        <v>207</v>
      </c>
      <c r="C24" s="6" t="s">
        <v>208</v>
      </c>
      <c r="D24" s="12">
        <v>71</v>
      </c>
      <c r="E24" s="12">
        <v>68</v>
      </c>
      <c r="F24" s="12">
        <v>69</v>
      </c>
      <c r="G24" s="12">
        <v>208</v>
      </c>
      <c r="H24" s="12">
        <v>22</v>
      </c>
      <c r="I24" s="16" t="s">
        <v>389</v>
      </c>
    </row>
    <row r="25" spans="1:9" ht="13.5" thickBot="1">
      <c r="A25" s="8">
        <v>174</v>
      </c>
      <c r="B25" s="6" t="s">
        <v>213</v>
      </c>
      <c r="C25" s="6" t="s">
        <v>214</v>
      </c>
      <c r="D25" s="12">
        <v>57</v>
      </c>
      <c r="E25" s="12">
        <v>76</v>
      </c>
      <c r="F25" s="12">
        <v>63</v>
      </c>
      <c r="G25" s="12">
        <v>196</v>
      </c>
      <c r="H25" s="12">
        <v>23</v>
      </c>
      <c r="I25" s="16" t="s">
        <v>390</v>
      </c>
    </row>
    <row r="26" spans="1:9" ht="13.5" thickBot="1">
      <c r="A26" s="8">
        <v>128</v>
      </c>
      <c r="B26" s="6" t="s">
        <v>215</v>
      </c>
      <c r="C26" s="6" t="s">
        <v>216</v>
      </c>
      <c r="D26" s="12">
        <v>53</v>
      </c>
      <c r="E26" s="12">
        <v>63</v>
      </c>
      <c r="F26" s="12">
        <v>75</v>
      </c>
      <c r="G26" s="12">
        <v>191</v>
      </c>
      <c r="H26" s="12">
        <v>24</v>
      </c>
      <c r="I26" s="16" t="s">
        <v>390</v>
      </c>
    </row>
    <row r="27" spans="1:9" ht="13.5" thickBot="1">
      <c r="A27" s="8">
        <v>114</v>
      </c>
      <c r="B27" s="6" t="s">
        <v>225</v>
      </c>
      <c r="C27" s="6" t="s">
        <v>226</v>
      </c>
      <c r="D27" s="12">
        <v>64</v>
      </c>
      <c r="E27" s="12">
        <v>63</v>
      </c>
      <c r="F27" s="12">
        <v>49</v>
      </c>
      <c r="G27" s="12">
        <v>176</v>
      </c>
      <c r="H27" s="12">
        <v>25</v>
      </c>
      <c r="I27" s="16" t="s">
        <v>390</v>
      </c>
    </row>
    <row r="28" spans="1:9" ht="13.5" thickBot="1">
      <c r="A28" s="8">
        <v>170</v>
      </c>
      <c r="B28" s="6" t="s">
        <v>80</v>
      </c>
      <c r="C28" s="6" t="s">
        <v>228</v>
      </c>
      <c r="D28" s="12">
        <v>72</v>
      </c>
      <c r="E28" s="12">
        <v>48</v>
      </c>
      <c r="F28" s="12">
        <v>49</v>
      </c>
      <c r="G28" s="12">
        <v>169</v>
      </c>
      <c r="H28" s="12">
        <v>26</v>
      </c>
      <c r="I28" s="16" t="s">
        <v>391</v>
      </c>
    </row>
    <row r="29" spans="1:9" ht="13.5" thickBot="1">
      <c r="A29" s="8">
        <v>61</v>
      </c>
      <c r="B29" s="6" t="s">
        <v>229</v>
      </c>
      <c r="C29" s="6" t="s">
        <v>230</v>
      </c>
      <c r="D29" s="12">
        <v>61</v>
      </c>
      <c r="E29" s="12">
        <v>40</v>
      </c>
      <c r="F29" s="12">
        <v>64</v>
      </c>
      <c r="G29" s="12">
        <v>165</v>
      </c>
      <c r="H29" s="12">
        <v>27</v>
      </c>
      <c r="I29" s="16" t="s">
        <v>391</v>
      </c>
    </row>
    <row r="30" spans="1:9" ht="13.5" thickBot="1">
      <c r="A30" s="8">
        <v>95</v>
      </c>
      <c r="B30" s="6" t="s">
        <v>235</v>
      </c>
      <c r="C30" s="6" t="s">
        <v>236</v>
      </c>
      <c r="D30" s="12">
        <v>36</v>
      </c>
      <c r="E30" s="12">
        <v>50</v>
      </c>
      <c r="F30" s="12">
        <v>51</v>
      </c>
      <c r="G30" s="12">
        <v>137</v>
      </c>
      <c r="H30" s="12">
        <v>28</v>
      </c>
    </row>
    <row r="31" spans="1:9" ht="13.5" thickBot="1">
      <c r="A31" s="8">
        <v>205</v>
      </c>
      <c r="B31" s="6" t="s">
        <v>237</v>
      </c>
      <c r="C31" s="6" t="s">
        <v>238</v>
      </c>
      <c r="D31" s="12">
        <v>47</v>
      </c>
      <c r="E31" s="12">
        <v>43</v>
      </c>
      <c r="F31" s="12">
        <v>47</v>
      </c>
      <c r="G31" s="12">
        <v>137</v>
      </c>
      <c r="H31" s="12">
        <v>29</v>
      </c>
    </row>
    <row r="32" spans="1:9" ht="13.5" thickBot="1">
      <c r="A32" s="8">
        <v>82</v>
      </c>
      <c r="B32" s="6" t="s">
        <v>239</v>
      </c>
      <c r="C32" s="6" t="s">
        <v>240</v>
      </c>
      <c r="D32" s="12">
        <v>18</v>
      </c>
      <c r="E32" s="12">
        <v>48</v>
      </c>
      <c r="F32" s="12">
        <v>28</v>
      </c>
      <c r="G32" s="12">
        <v>94</v>
      </c>
      <c r="H32" s="12">
        <v>30</v>
      </c>
    </row>
    <row r="33" spans="4:8" ht="13.5" thickBot="1">
      <c r="D33" s="74" t="s">
        <v>383</v>
      </c>
      <c r="E33" s="75"/>
      <c r="F33" s="76"/>
      <c r="G33" s="31">
        <f>SUM(G3:G32)/30</f>
        <v>218.8</v>
      </c>
      <c r="H33" s="16" t="s">
        <v>389</v>
      </c>
    </row>
  </sheetData>
  <sortState ref="A3:G32">
    <sortCondition descending="1" ref="G3:G32"/>
    <sortCondition descending="1" ref="F3:F32"/>
    <sortCondition descending="1" ref="E3:E32"/>
    <sortCondition descending="1" ref="D3:D32"/>
  </sortState>
  <mergeCells count="1">
    <mergeCell ref="D33:F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workbookViewId="0">
      <selection activeCell="L7" sqref="L7"/>
    </sheetView>
  </sheetViews>
  <sheetFormatPr defaultColWidth="9.140625" defaultRowHeight="12.75"/>
  <cols>
    <col min="1" max="1" width="18.28515625" style="5" customWidth="1"/>
    <col min="2" max="2" width="19.85546875" style="5" customWidth="1"/>
    <col min="3" max="7" width="7.42578125" style="16" customWidth="1"/>
    <col min="8" max="16384" width="9.140625" style="5"/>
  </cols>
  <sheetData>
    <row r="1" spans="1:7" ht="30.75" thickBot="1">
      <c r="A1" s="90" t="s">
        <v>377</v>
      </c>
      <c r="B1" s="90"/>
      <c r="C1" s="86"/>
      <c r="D1" s="86"/>
      <c r="E1" s="86"/>
      <c r="F1" s="86"/>
      <c r="G1" s="86"/>
    </row>
    <row r="2" spans="1:7" ht="15.75" thickBot="1">
      <c r="A2" s="91" t="s">
        <v>30</v>
      </c>
      <c r="B2" s="91" t="s">
        <v>31</v>
      </c>
      <c r="C2" s="88">
        <v>1</v>
      </c>
      <c r="D2" s="88">
        <v>2</v>
      </c>
      <c r="E2" s="88">
        <v>3</v>
      </c>
      <c r="F2" s="88" t="s">
        <v>6</v>
      </c>
      <c r="G2" s="88" t="s">
        <v>7</v>
      </c>
    </row>
    <row r="3" spans="1:7" ht="15.75" thickBot="1">
      <c r="A3" s="90" t="s">
        <v>237</v>
      </c>
      <c r="B3" s="90" t="s">
        <v>338</v>
      </c>
      <c r="C3" s="86">
        <v>99</v>
      </c>
      <c r="D3" s="86">
        <v>97</v>
      </c>
      <c r="E3" s="86">
        <v>92</v>
      </c>
      <c r="F3" s="86">
        <v>288</v>
      </c>
      <c r="G3" s="89">
        <v>1</v>
      </c>
    </row>
    <row r="4" spans="1:7" ht="15.75" thickBot="1">
      <c r="A4" s="90" t="s">
        <v>52</v>
      </c>
      <c r="B4" s="90" t="s">
        <v>53</v>
      </c>
      <c r="C4" s="86">
        <v>95</v>
      </c>
      <c r="D4" s="86">
        <v>94</v>
      </c>
      <c r="E4" s="86">
        <v>94</v>
      </c>
      <c r="F4" s="86">
        <v>283</v>
      </c>
      <c r="G4" s="86">
        <v>2</v>
      </c>
    </row>
    <row r="5" spans="1:7" ht="15.75" thickBot="1">
      <c r="A5" s="90" t="s">
        <v>36</v>
      </c>
      <c r="B5" s="90" t="s">
        <v>37</v>
      </c>
      <c r="C5" s="86">
        <v>96</v>
      </c>
      <c r="D5" s="86">
        <v>91</v>
      </c>
      <c r="E5" s="86">
        <v>95</v>
      </c>
      <c r="F5" s="86">
        <v>282</v>
      </c>
      <c r="G5" s="86">
        <v>3</v>
      </c>
    </row>
    <row r="6" spans="1:7" ht="15.75" thickBot="1">
      <c r="A6" s="90" t="s">
        <v>101</v>
      </c>
      <c r="B6" s="90" t="s">
        <v>102</v>
      </c>
      <c r="C6" s="86">
        <v>95</v>
      </c>
      <c r="D6" s="86">
        <v>93</v>
      </c>
      <c r="E6" s="86">
        <v>94</v>
      </c>
      <c r="F6" s="86">
        <v>282</v>
      </c>
      <c r="G6" s="86">
        <v>4</v>
      </c>
    </row>
    <row r="7" spans="1:7" ht="15.75" thickBot="1">
      <c r="A7" s="90" t="s">
        <v>256</v>
      </c>
      <c r="B7" s="90" t="s">
        <v>257</v>
      </c>
      <c r="C7" s="86">
        <v>99</v>
      </c>
      <c r="D7" s="86">
        <v>93</v>
      </c>
      <c r="E7" s="86">
        <v>90</v>
      </c>
      <c r="F7" s="86">
        <v>282</v>
      </c>
      <c r="G7" s="86">
        <v>5</v>
      </c>
    </row>
    <row r="8" spans="1:7" ht="15.75" thickBot="1">
      <c r="A8" s="90" t="s">
        <v>114</v>
      </c>
      <c r="B8" s="90" t="s">
        <v>115</v>
      </c>
      <c r="C8" s="86">
        <v>96</v>
      </c>
      <c r="D8" s="86">
        <v>93</v>
      </c>
      <c r="E8" s="86">
        <v>92</v>
      </c>
      <c r="F8" s="86">
        <v>281</v>
      </c>
      <c r="G8" s="86">
        <v>6</v>
      </c>
    </row>
    <row r="9" spans="1:7" ht="15.75" thickBot="1">
      <c r="A9" s="90" t="s">
        <v>42</v>
      </c>
      <c r="B9" s="90" t="s">
        <v>43</v>
      </c>
      <c r="C9" s="86">
        <v>95</v>
      </c>
      <c r="D9" s="86">
        <v>90</v>
      </c>
      <c r="E9" s="86">
        <v>95</v>
      </c>
      <c r="F9" s="86">
        <v>280</v>
      </c>
      <c r="G9" s="86">
        <v>7</v>
      </c>
    </row>
    <row r="10" spans="1:7" ht="15.75" thickBot="1">
      <c r="A10" s="90" t="s">
        <v>62</v>
      </c>
      <c r="B10" s="90" t="s">
        <v>63</v>
      </c>
      <c r="C10" s="86">
        <v>97</v>
      </c>
      <c r="D10" s="86">
        <v>92</v>
      </c>
      <c r="E10" s="86">
        <v>91</v>
      </c>
      <c r="F10" s="86">
        <v>280</v>
      </c>
      <c r="G10" s="86">
        <v>8</v>
      </c>
    </row>
    <row r="11" spans="1:7" ht="15.75" thickBot="1">
      <c r="A11" s="90" t="s">
        <v>60</v>
      </c>
      <c r="B11" s="90" t="s">
        <v>360</v>
      </c>
      <c r="C11" s="86">
        <v>96</v>
      </c>
      <c r="D11" s="86">
        <v>94</v>
      </c>
      <c r="E11" s="86">
        <v>90</v>
      </c>
      <c r="F11" s="86">
        <v>280</v>
      </c>
      <c r="G11" s="86">
        <v>9</v>
      </c>
    </row>
    <row r="12" spans="1:7" ht="15.75" thickBot="1">
      <c r="A12" s="90" t="s">
        <v>48</v>
      </c>
      <c r="B12" s="90" t="s">
        <v>227</v>
      </c>
      <c r="C12" s="86">
        <v>97</v>
      </c>
      <c r="D12" s="86">
        <v>93</v>
      </c>
      <c r="E12" s="86">
        <v>90</v>
      </c>
      <c r="F12" s="86">
        <v>280</v>
      </c>
      <c r="G12" s="86">
        <v>10</v>
      </c>
    </row>
    <row r="13" spans="1:7" ht="15.75" thickBot="1">
      <c r="A13" s="90" t="s">
        <v>254</v>
      </c>
      <c r="B13" s="90" t="s">
        <v>255</v>
      </c>
      <c r="C13" s="86">
        <v>93</v>
      </c>
      <c r="D13" s="86">
        <v>95</v>
      </c>
      <c r="E13" s="86">
        <v>91</v>
      </c>
      <c r="F13" s="86">
        <v>279</v>
      </c>
      <c r="G13" s="86">
        <v>11</v>
      </c>
    </row>
    <row r="14" spans="1:7" ht="15.75" thickBot="1">
      <c r="A14" s="90" t="s">
        <v>78</v>
      </c>
      <c r="B14" s="90" t="s">
        <v>79</v>
      </c>
      <c r="C14" s="86">
        <v>95</v>
      </c>
      <c r="D14" s="86">
        <v>93</v>
      </c>
      <c r="E14" s="86">
        <v>90</v>
      </c>
      <c r="F14" s="86">
        <v>278</v>
      </c>
      <c r="G14" s="86">
        <v>12</v>
      </c>
    </row>
    <row r="15" spans="1:7" ht="15.75" thickBot="1">
      <c r="A15" s="90" t="s">
        <v>95</v>
      </c>
      <c r="B15" s="90" t="s">
        <v>96</v>
      </c>
      <c r="C15" s="86">
        <v>96</v>
      </c>
      <c r="D15" s="86">
        <v>91</v>
      </c>
      <c r="E15" s="86">
        <v>90</v>
      </c>
      <c r="F15" s="86">
        <v>277</v>
      </c>
      <c r="G15" s="86">
        <v>13</v>
      </c>
    </row>
    <row r="16" spans="1:7" ht="15.75" thickBot="1">
      <c r="A16" s="90" t="s">
        <v>54</v>
      </c>
      <c r="B16" s="90" t="s">
        <v>55</v>
      </c>
      <c r="C16" s="86">
        <v>98</v>
      </c>
      <c r="D16" s="86">
        <v>93</v>
      </c>
      <c r="E16" s="86">
        <v>86</v>
      </c>
      <c r="F16" s="86">
        <v>277</v>
      </c>
      <c r="G16" s="86">
        <v>14</v>
      </c>
    </row>
    <row r="17" spans="1:7" ht="15.75" thickBot="1">
      <c r="A17" s="90" t="s">
        <v>46</v>
      </c>
      <c r="B17" s="90" t="s">
        <v>47</v>
      </c>
      <c r="C17" s="86">
        <v>98</v>
      </c>
      <c r="D17" s="86">
        <v>90</v>
      </c>
      <c r="E17" s="86">
        <v>88</v>
      </c>
      <c r="F17" s="86">
        <v>276</v>
      </c>
      <c r="G17" s="86">
        <v>15</v>
      </c>
    </row>
    <row r="18" spans="1:7" ht="15.75" thickBot="1">
      <c r="A18" s="90" t="s">
        <v>155</v>
      </c>
      <c r="B18" s="90" t="s">
        <v>156</v>
      </c>
      <c r="C18" s="86">
        <v>95</v>
      </c>
      <c r="D18" s="86">
        <v>94</v>
      </c>
      <c r="E18" s="86">
        <v>87</v>
      </c>
      <c r="F18" s="86">
        <v>276</v>
      </c>
      <c r="G18" s="86">
        <v>16</v>
      </c>
    </row>
    <row r="19" spans="1:7" ht="15.75" thickBot="1">
      <c r="A19" s="90" t="s">
        <v>108</v>
      </c>
      <c r="B19" s="90" t="s">
        <v>109</v>
      </c>
      <c r="C19" s="86">
        <v>98</v>
      </c>
      <c r="D19" s="86">
        <v>91</v>
      </c>
      <c r="E19" s="86">
        <v>87</v>
      </c>
      <c r="F19" s="86">
        <v>276</v>
      </c>
      <c r="G19" s="86">
        <v>17</v>
      </c>
    </row>
    <row r="20" spans="1:7" ht="15.75" thickBot="1">
      <c r="A20" s="90" t="s">
        <v>38</v>
      </c>
      <c r="B20" s="90" t="s">
        <v>39</v>
      </c>
      <c r="C20" s="86">
        <v>97</v>
      </c>
      <c r="D20" s="86">
        <v>94</v>
      </c>
      <c r="E20" s="86">
        <v>85</v>
      </c>
      <c r="F20" s="86">
        <v>276</v>
      </c>
      <c r="G20" s="86">
        <v>18</v>
      </c>
    </row>
    <row r="21" spans="1:7" ht="15.75" thickBot="1">
      <c r="A21" s="90" t="s">
        <v>110</v>
      </c>
      <c r="B21" s="90" t="s">
        <v>111</v>
      </c>
      <c r="C21" s="86">
        <v>94</v>
      </c>
      <c r="D21" s="86">
        <v>88</v>
      </c>
      <c r="E21" s="86">
        <v>92</v>
      </c>
      <c r="F21" s="86">
        <v>274</v>
      </c>
      <c r="G21" s="86">
        <v>19</v>
      </c>
    </row>
    <row r="22" spans="1:7" ht="15.75" thickBot="1">
      <c r="A22" s="90" t="s">
        <v>231</v>
      </c>
      <c r="B22" s="90" t="s">
        <v>330</v>
      </c>
      <c r="C22" s="86">
        <v>95</v>
      </c>
      <c r="D22" s="86">
        <v>89</v>
      </c>
      <c r="E22" s="86">
        <v>90</v>
      </c>
      <c r="F22" s="86">
        <v>274</v>
      </c>
      <c r="G22" s="86">
        <v>20</v>
      </c>
    </row>
    <row r="23" spans="1:7" ht="15.75" thickBot="1">
      <c r="A23" s="90" t="s">
        <v>74</v>
      </c>
      <c r="B23" s="90" t="s">
        <v>75</v>
      </c>
      <c r="C23" s="86">
        <v>92</v>
      </c>
      <c r="D23" s="86">
        <v>94</v>
      </c>
      <c r="E23" s="86">
        <v>88</v>
      </c>
      <c r="F23" s="86">
        <v>274</v>
      </c>
      <c r="G23" s="86">
        <v>21</v>
      </c>
    </row>
    <row r="24" spans="1:7" ht="15.75" thickBot="1">
      <c r="A24" s="90" t="s">
        <v>34</v>
      </c>
      <c r="B24" s="90" t="s">
        <v>103</v>
      </c>
      <c r="C24" s="86">
        <v>96</v>
      </c>
      <c r="D24" s="86">
        <v>94</v>
      </c>
      <c r="E24" s="86">
        <v>84</v>
      </c>
      <c r="F24" s="86">
        <v>274</v>
      </c>
      <c r="G24" s="86">
        <v>22</v>
      </c>
    </row>
    <row r="25" spans="1:7" ht="15.75" thickBot="1">
      <c r="A25" s="90" t="s">
        <v>52</v>
      </c>
      <c r="B25" s="90" t="s">
        <v>280</v>
      </c>
      <c r="C25" s="86">
        <v>95</v>
      </c>
      <c r="D25" s="86">
        <v>97</v>
      </c>
      <c r="E25" s="86">
        <v>82</v>
      </c>
      <c r="F25" s="86">
        <v>274</v>
      </c>
      <c r="G25" s="86">
        <v>23</v>
      </c>
    </row>
    <row r="26" spans="1:7" ht="15.75" thickBot="1">
      <c r="A26" s="90" t="s">
        <v>284</v>
      </c>
      <c r="B26" s="90" t="s">
        <v>285</v>
      </c>
      <c r="C26" s="86">
        <v>97</v>
      </c>
      <c r="D26" s="86">
        <v>85</v>
      </c>
      <c r="E26" s="86">
        <v>91</v>
      </c>
      <c r="F26" s="86">
        <v>273</v>
      </c>
      <c r="G26" s="86">
        <v>24</v>
      </c>
    </row>
    <row r="27" spans="1:7" ht="15.75" thickBot="1">
      <c r="A27" s="90" t="s">
        <v>247</v>
      </c>
      <c r="B27" s="90" t="s">
        <v>248</v>
      </c>
      <c r="C27" s="86">
        <v>94</v>
      </c>
      <c r="D27" s="86">
        <v>89</v>
      </c>
      <c r="E27" s="86">
        <v>90</v>
      </c>
      <c r="F27" s="86">
        <v>273</v>
      </c>
      <c r="G27" s="86">
        <v>25</v>
      </c>
    </row>
    <row r="28" spans="1:7" ht="15.75" thickBot="1">
      <c r="A28" s="90" t="s">
        <v>140</v>
      </c>
      <c r="B28" s="90" t="s">
        <v>333</v>
      </c>
      <c r="C28" s="86">
        <v>92</v>
      </c>
      <c r="D28" s="86">
        <v>92</v>
      </c>
      <c r="E28" s="86">
        <v>89</v>
      </c>
      <c r="F28" s="86">
        <v>273</v>
      </c>
      <c r="G28" s="86">
        <v>26</v>
      </c>
    </row>
    <row r="29" spans="1:7" ht="15.75" thickBot="1">
      <c r="A29" s="90" t="s">
        <v>58</v>
      </c>
      <c r="B29" s="90" t="s">
        <v>59</v>
      </c>
      <c r="C29" s="86">
        <v>97</v>
      </c>
      <c r="D29" s="86">
        <v>91</v>
      </c>
      <c r="E29" s="86">
        <v>85</v>
      </c>
      <c r="F29" s="86">
        <v>273</v>
      </c>
      <c r="G29" s="86">
        <v>27</v>
      </c>
    </row>
    <row r="30" spans="1:7" ht="15.75" thickBot="1">
      <c r="A30" s="90" t="s">
        <v>282</v>
      </c>
      <c r="B30" s="90" t="s">
        <v>283</v>
      </c>
      <c r="C30" s="86">
        <v>98</v>
      </c>
      <c r="D30" s="86">
        <v>91</v>
      </c>
      <c r="E30" s="86">
        <v>83</v>
      </c>
      <c r="F30" s="86">
        <v>272</v>
      </c>
      <c r="G30" s="86">
        <v>28</v>
      </c>
    </row>
    <row r="31" spans="1:7" ht="15.75" thickBot="1">
      <c r="A31" s="90" t="s">
        <v>89</v>
      </c>
      <c r="B31" s="90" t="s">
        <v>90</v>
      </c>
      <c r="C31" s="86">
        <v>97</v>
      </c>
      <c r="D31" s="86">
        <v>97</v>
      </c>
      <c r="E31" s="86">
        <v>78</v>
      </c>
      <c r="F31" s="86">
        <v>272</v>
      </c>
      <c r="G31" s="86">
        <v>29</v>
      </c>
    </row>
    <row r="32" spans="1:7" ht="15.75" thickBot="1">
      <c r="A32" s="90" t="s">
        <v>106</v>
      </c>
      <c r="B32" s="90" t="s">
        <v>107</v>
      </c>
      <c r="C32" s="86">
        <v>96</v>
      </c>
      <c r="D32" s="86">
        <v>83</v>
      </c>
      <c r="E32" s="86">
        <v>92</v>
      </c>
      <c r="F32" s="86">
        <v>271</v>
      </c>
      <c r="G32" s="86">
        <v>30</v>
      </c>
    </row>
    <row r="33" spans="1:7" ht="15.75" thickBot="1">
      <c r="A33" s="90" t="s">
        <v>122</v>
      </c>
      <c r="B33" s="90" t="s">
        <v>123</v>
      </c>
      <c r="C33" s="86">
        <v>92</v>
      </c>
      <c r="D33" s="86">
        <v>89</v>
      </c>
      <c r="E33" s="86">
        <v>90</v>
      </c>
      <c r="F33" s="86">
        <v>271</v>
      </c>
      <c r="G33" s="86">
        <v>31</v>
      </c>
    </row>
    <row r="34" spans="1:7" ht="15.75" thickBot="1">
      <c r="A34" s="90" t="s">
        <v>68</v>
      </c>
      <c r="B34" s="90" t="s">
        <v>69</v>
      </c>
      <c r="C34" s="86">
        <v>93</v>
      </c>
      <c r="D34" s="86">
        <v>88</v>
      </c>
      <c r="E34" s="86">
        <v>90</v>
      </c>
      <c r="F34" s="86">
        <v>271</v>
      </c>
      <c r="G34" s="86">
        <v>32</v>
      </c>
    </row>
    <row r="35" spans="1:7" ht="15.75" thickBot="1">
      <c r="A35" s="90" t="s">
        <v>264</v>
      </c>
      <c r="B35" s="90" t="s">
        <v>265</v>
      </c>
      <c r="C35" s="86">
        <v>91</v>
      </c>
      <c r="D35" s="86">
        <v>92</v>
      </c>
      <c r="E35" s="86">
        <v>88</v>
      </c>
      <c r="F35" s="86">
        <v>271</v>
      </c>
      <c r="G35" s="86">
        <v>33</v>
      </c>
    </row>
    <row r="36" spans="1:7" ht="15.75" thickBot="1">
      <c r="A36" s="90" t="s">
        <v>136</v>
      </c>
      <c r="B36" s="90" t="s">
        <v>137</v>
      </c>
      <c r="C36" s="86">
        <v>95</v>
      </c>
      <c r="D36" s="86">
        <v>89</v>
      </c>
      <c r="E36" s="86">
        <v>87</v>
      </c>
      <c r="F36" s="86">
        <v>271</v>
      </c>
      <c r="G36" s="86">
        <v>34</v>
      </c>
    </row>
    <row r="37" spans="1:7" ht="15.75" thickBot="1">
      <c r="A37" s="90" t="s">
        <v>70</v>
      </c>
      <c r="B37" s="90" t="s">
        <v>71</v>
      </c>
      <c r="C37" s="86">
        <v>96</v>
      </c>
      <c r="D37" s="86">
        <v>96</v>
      </c>
      <c r="E37" s="86">
        <v>76</v>
      </c>
      <c r="F37" s="86">
        <v>268</v>
      </c>
      <c r="G37" s="86">
        <v>35</v>
      </c>
    </row>
    <row r="38" spans="1:7" ht="15.75" thickBot="1">
      <c r="A38" s="90" t="s">
        <v>314</v>
      </c>
      <c r="B38" s="90" t="s">
        <v>315</v>
      </c>
      <c r="C38" s="86">
        <v>93</v>
      </c>
      <c r="D38" s="86">
        <v>86</v>
      </c>
      <c r="E38" s="86">
        <v>88</v>
      </c>
      <c r="F38" s="86">
        <v>267</v>
      </c>
      <c r="G38" s="86">
        <v>36</v>
      </c>
    </row>
    <row r="39" spans="1:7" ht="15.75" thickBot="1">
      <c r="A39" s="90" t="s">
        <v>175</v>
      </c>
      <c r="B39" s="90" t="s">
        <v>176</v>
      </c>
      <c r="C39" s="86">
        <v>90</v>
      </c>
      <c r="D39" s="86">
        <v>90</v>
      </c>
      <c r="E39" s="86">
        <v>87</v>
      </c>
      <c r="F39" s="86">
        <v>267</v>
      </c>
      <c r="G39" s="86">
        <v>37</v>
      </c>
    </row>
    <row r="40" spans="1:7" ht="15.75" thickBot="1">
      <c r="A40" s="90" t="s">
        <v>201</v>
      </c>
      <c r="B40" s="90" t="s">
        <v>202</v>
      </c>
      <c r="C40" s="86">
        <v>94</v>
      </c>
      <c r="D40" s="86">
        <v>87</v>
      </c>
      <c r="E40" s="86">
        <v>86</v>
      </c>
      <c r="F40" s="86">
        <v>267</v>
      </c>
      <c r="G40" s="86">
        <v>38</v>
      </c>
    </row>
    <row r="41" spans="1:7" ht="15.75" thickBot="1">
      <c r="A41" s="90" t="s">
        <v>44</v>
      </c>
      <c r="B41" s="90" t="s">
        <v>45</v>
      </c>
      <c r="C41" s="86">
        <v>93</v>
      </c>
      <c r="D41" s="86">
        <v>92</v>
      </c>
      <c r="E41" s="86">
        <v>82</v>
      </c>
      <c r="F41" s="86">
        <v>267</v>
      </c>
      <c r="G41" s="86">
        <v>39</v>
      </c>
    </row>
    <row r="42" spans="1:7" ht="15.75" thickBot="1">
      <c r="A42" s="90" t="s">
        <v>243</v>
      </c>
      <c r="B42" s="90" t="s">
        <v>335</v>
      </c>
      <c r="C42" s="86">
        <v>95</v>
      </c>
      <c r="D42" s="86">
        <v>91</v>
      </c>
      <c r="E42" s="86">
        <v>81</v>
      </c>
      <c r="F42" s="86">
        <v>267</v>
      </c>
      <c r="G42" s="86">
        <v>40</v>
      </c>
    </row>
    <row r="43" spans="1:7" ht="15.75" thickBot="1">
      <c r="A43" s="90" t="s">
        <v>110</v>
      </c>
      <c r="B43" s="90" t="s">
        <v>107</v>
      </c>
      <c r="C43" s="86">
        <v>97</v>
      </c>
      <c r="D43" s="86">
        <v>91</v>
      </c>
      <c r="E43" s="86">
        <v>79</v>
      </c>
      <c r="F43" s="86">
        <v>267</v>
      </c>
      <c r="G43" s="86">
        <v>41</v>
      </c>
    </row>
    <row r="44" spans="1:7" ht="15.75" thickBot="1">
      <c r="A44" s="90" t="s">
        <v>328</v>
      </c>
      <c r="B44" s="90" t="s">
        <v>329</v>
      </c>
      <c r="C44" s="86">
        <v>90</v>
      </c>
      <c r="D44" s="86">
        <v>85</v>
      </c>
      <c r="E44" s="86">
        <v>91</v>
      </c>
      <c r="F44" s="86">
        <v>266</v>
      </c>
      <c r="G44" s="86">
        <v>42</v>
      </c>
    </row>
    <row r="45" spans="1:7" ht="15.75" thickBot="1">
      <c r="A45" s="90" t="s">
        <v>286</v>
      </c>
      <c r="B45" s="90" t="s">
        <v>287</v>
      </c>
      <c r="C45" s="86">
        <v>91</v>
      </c>
      <c r="D45" s="86">
        <v>87</v>
      </c>
      <c r="E45" s="86">
        <v>88</v>
      </c>
      <c r="F45" s="86">
        <v>266</v>
      </c>
      <c r="G45" s="86">
        <v>43</v>
      </c>
    </row>
    <row r="46" spans="1:7" ht="15.75" thickBot="1">
      <c r="A46" s="90" t="s">
        <v>197</v>
      </c>
      <c r="B46" s="90" t="s">
        <v>198</v>
      </c>
      <c r="C46" s="86">
        <v>91</v>
      </c>
      <c r="D46" s="86">
        <v>87</v>
      </c>
      <c r="E46" s="86">
        <v>88</v>
      </c>
      <c r="F46" s="86">
        <v>266</v>
      </c>
      <c r="G46" s="86">
        <v>44</v>
      </c>
    </row>
    <row r="47" spans="1:7" ht="15.75" thickBot="1">
      <c r="A47" s="90" t="s">
        <v>304</v>
      </c>
      <c r="B47" s="90" t="s">
        <v>305</v>
      </c>
      <c r="C47" s="86">
        <v>94</v>
      </c>
      <c r="D47" s="86">
        <v>86</v>
      </c>
      <c r="E47" s="86">
        <v>86</v>
      </c>
      <c r="F47" s="86">
        <v>266</v>
      </c>
      <c r="G47" s="86">
        <v>45</v>
      </c>
    </row>
    <row r="48" spans="1:7" ht="15.75" thickBot="1">
      <c r="A48" s="90" t="s">
        <v>177</v>
      </c>
      <c r="B48" s="90" t="s">
        <v>178</v>
      </c>
      <c r="C48" s="86">
        <v>98</v>
      </c>
      <c r="D48" s="86">
        <v>94</v>
      </c>
      <c r="E48" s="86">
        <v>74</v>
      </c>
      <c r="F48" s="86">
        <v>266</v>
      </c>
      <c r="G48" s="86">
        <v>46</v>
      </c>
    </row>
    <row r="49" spans="1:7" ht="15.75" thickBot="1">
      <c r="A49" s="90" t="s">
        <v>32</v>
      </c>
      <c r="B49" s="90" t="s">
        <v>33</v>
      </c>
      <c r="C49" s="86">
        <v>95</v>
      </c>
      <c r="D49" s="86">
        <v>86</v>
      </c>
      <c r="E49" s="86">
        <v>84</v>
      </c>
      <c r="F49" s="86">
        <v>265</v>
      </c>
      <c r="G49" s="86">
        <v>47</v>
      </c>
    </row>
    <row r="50" spans="1:7" ht="15.75" thickBot="1">
      <c r="A50" s="90" t="s">
        <v>104</v>
      </c>
      <c r="B50" s="90" t="s">
        <v>105</v>
      </c>
      <c r="C50" s="86">
        <v>93</v>
      </c>
      <c r="D50" s="86">
        <v>84</v>
      </c>
      <c r="E50" s="86">
        <v>87</v>
      </c>
      <c r="F50" s="86">
        <v>264</v>
      </c>
      <c r="G50" s="86">
        <v>48</v>
      </c>
    </row>
    <row r="51" spans="1:7" ht="15.75" thickBot="1">
      <c r="A51" s="90" t="s">
        <v>165</v>
      </c>
      <c r="B51" s="90" t="s">
        <v>230</v>
      </c>
      <c r="C51" s="86">
        <v>95</v>
      </c>
      <c r="D51" s="86">
        <v>90</v>
      </c>
      <c r="E51" s="86">
        <v>79</v>
      </c>
      <c r="F51" s="86">
        <v>264</v>
      </c>
      <c r="G51" s="86">
        <v>49</v>
      </c>
    </row>
    <row r="52" spans="1:7" ht="15.75" thickBot="1">
      <c r="A52" s="90" t="s">
        <v>142</v>
      </c>
      <c r="B52" s="90" t="s">
        <v>143</v>
      </c>
      <c r="C52" s="86">
        <v>94</v>
      </c>
      <c r="D52" s="86">
        <v>83</v>
      </c>
      <c r="E52" s="86">
        <v>86</v>
      </c>
      <c r="F52" s="86">
        <v>263</v>
      </c>
      <c r="G52" s="86">
        <v>50</v>
      </c>
    </row>
    <row r="53" spans="1:7" ht="15.75" thickBot="1">
      <c r="A53" s="90" t="s">
        <v>162</v>
      </c>
      <c r="B53" s="90" t="s">
        <v>357</v>
      </c>
      <c r="C53" s="86">
        <v>91</v>
      </c>
      <c r="D53" s="86">
        <v>88</v>
      </c>
      <c r="E53" s="86">
        <v>84</v>
      </c>
      <c r="F53" s="86">
        <v>263</v>
      </c>
      <c r="G53" s="86">
        <v>51</v>
      </c>
    </row>
    <row r="54" spans="1:7" ht="15.75" thickBot="1">
      <c r="A54" s="90" t="s">
        <v>130</v>
      </c>
      <c r="B54" s="90" t="s">
        <v>131</v>
      </c>
      <c r="C54" s="86">
        <v>95</v>
      </c>
      <c r="D54" s="86">
        <v>84</v>
      </c>
      <c r="E54" s="86">
        <v>83</v>
      </c>
      <c r="F54" s="86">
        <v>262</v>
      </c>
      <c r="G54" s="86">
        <v>52</v>
      </c>
    </row>
    <row r="55" spans="1:7" ht="15.75" thickBot="1">
      <c r="A55" s="90" t="s">
        <v>271</v>
      </c>
      <c r="B55" s="90" t="s">
        <v>272</v>
      </c>
      <c r="C55" s="86">
        <v>89</v>
      </c>
      <c r="D55" s="86">
        <v>91</v>
      </c>
      <c r="E55" s="86">
        <v>82</v>
      </c>
      <c r="F55" s="86">
        <v>262</v>
      </c>
      <c r="G55" s="86">
        <v>53</v>
      </c>
    </row>
    <row r="56" spans="1:7" ht="15.75" thickBot="1">
      <c r="A56" s="90" t="s">
        <v>233</v>
      </c>
      <c r="B56" s="90" t="s">
        <v>358</v>
      </c>
      <c r="C56" s="86">
        <v>97</v>
      </c>
      <c r="D56" s="86">
        <v>87</v>
      </c>
      <c r="E56" s="86">
        <v>78</v>
      </c>
      <c r="F56" s="86">
        <v>262</v>
      </c>
      <c r="G56" s="86">
        <v>54</v>
      </c>
    </row>
    <row r="57" spans="1:7" ht="15.75" thickBot="1">
      <c r="A57" s="90" t="s">
        <v>44</v>
      </c>
      <c r="B57" s="90" t="s">
        <v>266</v>
      </c>
      <c r="C57" s="86">
        <v>96</v>
      </c>
      <c r="D57" s="86">
        <v>89</v>
      </c>
      <c r="E57" s="86">
        <v>77</v>
      </c>
      <c r="F57" s="86">
        <v>262</v>
      </c>
      <c r="G57" s="86">
        <v>55</v>
      </c>
    </row>
    <row r="58" spans="1:7" ht="15.75" thickBot="1">
      <c r="A58" s="90" t="s">
        <v>99</v>
      </c>
      <c r="B58" s="90" t="s">
        <v>100</v>
      </c>
      <c r="C58" s="86">
        <v>94</v>
      </c>
      <c r="D58" s="86">
        <v>92</v>
      </c>
      <c r="E58" s="86">
        <v>76</v>
      </c>
      <c r="F58" s="86">
        <v>262</v>
      </c>
      <c r="G58" s="86">
        <v>56</v>
      </c>
    </row>
    <row r="59" spans="1:7" ht="15.75" thickBot="1">
      <c r="A59" s="90" t="s">
        <v>50</v>
      </c>
      <c r="B59" s="90" t="s">
        <v>51</v>
      </c>
      <c r="C59" s="86">
        <v>92</v>
      </c>
      <c r="D59" s="86">
        <v>84</v>
      </c>
      <c r="E59" s="86">
        <v>85</v>
      </c>
      <c r="F59" s="86">
        <v>261</v>
      </c>
      <c r="G59" s="86">
        <v>57</v>
      </c>
    </row>
    <row r="60" spans="1:7" ht="30.75" thickBot="1">
      <c r="A60" s="90" t="s">
        <v>120</v>
      </c>
      <c r="B60" s="90" t="s">
        <v>121</v>
      </c>
      <c r="C60" s="86">
        <v>87</v>
      </c>
      <c r="D60" s="86">
        <v>90</v>
      </c>
      <c r="E60" s="86">
        <v>84</v>
      </c>
      <c r="F60" s="86">
        <v>261</v>
      </c>
      <c r="G60" s="86">
        <v>58</v>
      </c>
    </row>
    <row r="61" spans="1:7" ht="15.75" thickBot="1">
      <c r="A61" s="90" t="s">
        <v>60</v>
      </c>
      <c r="B61" s="90" t="s">
        <v>281</v>
      </c>
      <c r="C61" s="86">
        <v>93</v>
      </c>
      <c r="D61" s="86">
        <v>83</v>
      </c>
      <c r="E61" s="86">
        <v>84</v>
      </c>
      <c r="F61" s="86">
        <v>260</v>
      </c>
      <c r="G61" s="86">
        <v>59</v>
      </c>
    </row>
    <row r="62" spans="1:7" ht="15.75" thickBot="1">
      <c r="A62" s="90" t="s">
        <v>245</v>
      </c>
      <c r="B62" s="90" t="s">
        <v>246</v>
      </c>
      <c r="C62" s="86">
        <v>94</v>
      </c>
      <c r="D62" s="86">
        <v>87</v>
      </c>
      <c r="E62" s="86">
        <v>79</v>
      </c>
      <c r="F62" s="86">
        <v>260</v>
      </c>
      <c r="G62" s="86">
        <v>60</v>
      </c>
    </row>
    <row r="63" spans="1:7" ht="15.75" thickBot="1">
      <c r="A63" s="90" t="s">
        <v>34</v>
      </c>
      <c r="B63" s="90" t="s">
        <v>157</v>
      </c>
      <c r="C63" s="86">
        <v>89</v>
      </c>
      <c r="D63" s="86">
        <v>87</v>
      </c>
      <c r="E63" s="86">
        <v>83</v>
      </c>
      <c r="F63" s="86">
        <v>259</v>
      </c>
      <c r="G63" s="86">
        <v>61</v>
      </c>
    </row>
    <row r="64" spans="1:7" ht="15.75" thickBot="1">
      <c r="A64" s="90" t="s">
        <v>146</v>
      </c>
      <c r="B64" s="90" t="s">
        <v>147</v>
      </c>
      <c r="C64" s="86">
        <v>91</v>
      </c>
      <c r="D64" s="86">
        <v>92</v>
      </c>
      <c r="E64" s="86">
        <v>76</v>
      </c>
      <c r="F64" s="86">
        <v>259</v>
      </c>
      <c r="G64" s="86">
        <v>62</v>
      </c>
    </row>
    <row r="65" spans="1:7" ht="15.75" thickBot="1">
      <c r="A65" s="90" t="s">
        <v>364</v>
      </c>
      <c r="B65" s="90" t="s">
        <v>365</v>
      </c>
      <c r="C65" s="86">
        <v>95</v>
      </c>
      <c r="D65" s="86">
        <v>88</v>
      </c>
      <c r="E65" s="86">
        <v>76</v>
      </c>
      <c r="F65" s="86">
        <v>259</v>
      </c>
      <c r="G65" s="86">
        <v>63</v>
      </c>
    </row>
    <row r="66" spans="1:7" ht="15.75" thickBot="1">
      <c r="A66" s="90" t="s">
        <v>207</v>
      </c>
      <c r="B66" s="90" t="s">
        <v>208</v>
      </c>
      <c r="C66" s="86">
        <v>94</v>
      </c>
      <c r="D66" s="86">
        <v>91</v>
      </c>
      <c r="E66" s="86">
        <v>74</v>
      </c>
      <c r="F66" s="86">
        <v>259</v>
      </c>
      <c r="G66" s="86">
        <v>64</v>
      </c>
    </row>
    <row r="67" spans="1:7" ht="15.75" thickBot="1">
      <c r="A67" s="90" t="s">
        <v>252</v>
      </c>
      <c r="B67" s="90" t="s">
        <v>253</v>
      </c>
      <c r="C67" s="86">
        <v>92</v>
      </c>
      <c r="D67" s="86">
        <v>86</v>
      </c>
      <c r="E67" s="86">
        <v>80</v>
      </c>
      <c r="F67" s="86">
        <v>258</v>
      </c>
      <c r="G67" s="86">
        <v>65</v>
      </c>
    </row>
    <row r="68" spans="1:7" ht="15.75" thickBot="1">
      <c r="A68" s="90" t="s">
        <v>171</v>
      </c>
      <c r="B68" s="90" t="s">
        <v>172</v>
      </c>
      <c r="C68" s="86">
        <v>96</v>
      </c>
      <c r="D68" s="86">
        <v>88</v>
      </c>
      <c r="E68" s="86">
        <v>74</v>
      </c>
      <c r="F68" s="86">
        <v>258</v>
      </c>
      <c r="G68" s="86">
        <v>66</v>
      </c>
    </row>
    <row r="69" spans="1:7" ht="15.75" thickBot="1">
      <c r="A69" s="90" t="s">
        <v>74</v>
      </c>
      <c r="B69" s="90" t="s">
        <v>88</v>
      </c>
      <c r="C69" s="86">
        <v>88</v>
      </c>
      <c r="D69" s="86">
        <v>87</v>
      </c>
      <c r="E69" s="86">
        <v>82</v>
      </c>
      <c r="F69" s="86">
        <v>257</v>
      </c>
      <c r="G69" s="86">
        <v>67</v>
      </c>
    </row>
    <row r="70" spans="1:7" ht="15.75" thickBot="1">
      <c r="A70" s="90" t="s">
        <v>179</v>
      </c>
      <c r="B70" s="90" t="s">
        <v>180</v>
      </c>
      <c r="C70" s="86">
        <v>92</v>
      </c>
      <c r="D70" s="86">
        <v>90</v>
      </c>
      <c r="E70" s="86">
        <v>75</v>
      </c>
      <c r="F70" s="86">
        <v>257</v>
      </c>
      <c r="G70" s="86">
        <v>68</v>
      </c>
    </row>
    <row r="71" spans="1:7" ht="15.75" thickBot="1">
      <c r="A71" s="90" t="s">
        <v>288</v>
      </c>
      <c r="B71" s="90" t="s">
        <v>289</v>
      </c>
      <c r="C71" s="86">
        <v>86</v>
      </c>
      <c r="D71" s="86">
        <v>86</v>
      </c>
      <c r="E71" s="86">
        <v>83</v>
      </c>
      <c r="F71" s="86">
        <v>255</v>
      </c>
      <c r="G71" s="86">
        <v>69</v>
      </c>
    </row>
    <row r="72" spans="1:7" ht="15.75" thickBot="1">
      <c r="A72" s="90" t="s">
        <v>295</v>
      </c>
      <c r="B72" s="90" t="s">
        <v>296</v>
      </c>
      <c r="C72" s="86">
        <v>84</v>
      </c>
      <c r="D72" s="86">
        <v>90</v>
      </c>
      <c r="E72" s="86">
        <v>81</v>
      </c>
      <c r="F72" s="86">
        <v>255</v>
      </c>
      <c r="G72" s="86">
        <v>70</v>
      </c>
    </row>
    <row r="73" spans="1:7" ht="15.75" thickBot="1">
      <c r="A73" s="90" t="s">
        <v>193</v>
      </c>
      <c r="B73" s="90" t="s">
        <v>194</v>
      </c>
      <c r="C73" s="86">
        <v>97</v>
      </c>
      <c r="D73" s="86">
        <v>83</v>
      </c>
      <c r="E73" s="86">
        <v>75</v>
      </c>
      <c r="F73" s="86">
        <v>255</v>
      </c>
      <c r="G73" s="86">
        <v>71</v>
      </c>
    </row>
    <row r="74" spans="1:7" ht="15.75" thickBot="1">
      <c r="A74" s="90" t="s">
        <v>217</v>
      </c>
      <c r="B74" s="90" t="s">
        <v>218</v>
      </c>
      <c r="C74" s="86">
        <v>93</v>
      </c>
      <c r="D74" s="86">
        <v>81</v>
      </c>
      <c r="E74" s="86">
        <v>80</v>
      </c>
      <c r="F74" s="86">
        <v>254</v>
      </c>
      <c r="G74" s="86">
        <v>72</v>
      </c>
    </row>
    <row r="75" spans="1:7" ht="15.75" thickBot="1">
      <c r="A75" s="90" t="s">
        <v>52</v>
      </c>
      <c r="B75" s="90" t="s">
        <v>164</v>
      </c>
      <c r="C75" s="86">
        <v>92</v>
      </c>
      <c r="D75" s="86">
        <v>83</v>
      </c>
      <c r="E75" s="86">
        <v>79</v>
      </c>
      <c r="F75" s="86">
        <v>254</v>
      </c>
      <c r="G75" s="86">
        <v>73</v>
      </c>
    </row>
    <row r="76" spans="1:7" ht="15.75" thickBot="1">
      <c r="A76" s="90" t="s">
        <v>322</v>
      </c>
      <c r="B76" s="90" t="s">
        <v>323</v>
      </c>
      <c r="C76" s="86">
        <v>91</v>
      </c>
      <c r="D76" s="86">
        <v>91</v>
      </c>
      <c r="E76" s="86">
        <v>72</v>
      </c>
      <c r="F76" s="86">
        <v>254</v>
      </c>
      <c r="G76" s="86">
        <v>74</v>
      </c>
    </row>
    <row r="77" spans="1:7" ht="15.75" thickBot="1">
      <c r="A77" s="90" t="s">
        <v>318</v>
      </c>
      <c r="B77" s="90" t="s">
        <v>319</v>
      </c>
      <c r="C77" s="86">
        <v>93</v>
      </c>
      <c r="D77" s="86">
        <v>81</v>
      </c>
      <c r="E77" s="86">
        <v>79</v>
      </c>
      <c r="F77" s="86">
        <v>253</v>
      </c>
      <c r="G77" s="86">
        <v>75</v>
      </c>
    </row>
    <row r="78" spans="1:7" ht="15.75" thickBot="1">
      <c r="A78" s="90" t="s">
        <v>142</v>
      </c>
      <c r="B78" s="90" t="s">
        <v>310</v>
      </c>
      <c r="C78" s="86">
        <v>91</v>
      </c>
      <c r="D78" s="86">
        <v>92</v>
      </c>
      <c r="E78" s="86">
        <v>70</v>
      </c>
      <c r="F78" s="86">
        <v>253</v>
      </c>
      <c r="G78" s="86">
        <v>76</v>
      </c>
    </row>
    <row r="79" spans="1:7" ht="15.75" thickBot="1">
      <c r="A79" s="90" t="s">
        <v>302</v>
      </c>
      <c r="B79" s="90" t="s">
        <v>303</v>
      </c>
      <c r="C79" s="86">
        <v>87</v>
      </c>
      <c r="D79" s="86">
        <v>88</v>
      </c>
      <c r="E79" s="86">
        <v>76</v>
      </c>
      <c r="F79" s="86">
        <v>251</v>
      </c>
      <c r="G79" s="86">
        <v>77</v>
      </c>
    </row>
    <row r="80" spans="1:7" ht="15.75" thickBot="1">
      <c r="A80" s="90" t="s">
        <v>68</v>
      </c>
      <c r="B80" s="90" t="s">
        <v>249</v>
      </c>
      <c r="C80" s="86">
        <v>93</v>
      </c>
      <c r="D80" s="86">
        <v>92</v>
      </c>
      <c r="E80" s="86">
        <v>66</v>
      </c>
      <c r="F80" s="86">
        <v>251</v>
      </c>
      <c r="G80" s="86">
        <v>78</v>
      </c>
    </row>
    <row r="81" spans="1:7" ht="15.75" thickBot="1">
      <c r="A81" s="90" t="s">
        <v>185</v>
      </c>
      <c r="B81" s="90" t="s">
        <v>186</v>
      </c>
      <c r="C81" s="86">
        <v>90</v>
      </c>
      <c r="D81" s="86">
        <v>84</v>
      </c>
      <c r="E81" s="86">
        <v>76</v>
      </c>
      <c r="F81" s="86">
        <v>250</v>
      </c>
      <c r="G81" s="86">
        <v>79</v>
      </c>
    </row>
    <row r="82" spans="1:7" ht="15.75" thickBot="1">
      <c r="A82" s="90" t="s">
        <v>116</v>
      </c>
      <c r="B82" s="90" t="s">
        <v>117</v>
      </c>
      <c r="C82" s="86">
        <v>92</v>
      </c>
      <c r="D82" s="86">
        <v>90</v>
      </c>
      <c r="E82" s="86">
        <v>68</v>
      </c>
      <c r="F82" s="86">
        <v>250</v>
      </c>
      <c r="G82" s="86">
        <v>80</v>
      </c>
    </row>
    <row r="83" spans="1:7" ht="15.75" thickBot="1">
      <c r="A83" s="90" t="s">
        <v>294</v>
      </c>
      <c r="B83" s="90" t="s">
        <v>141</v>
      </c>
      <c r="C83" s="86">
        <v>92</v>
      </c>
      <c r="D83" s="86">
        <v>91</v>
      </c>
      <c r="E83" s="86">
        <v>67</v>
      </c>
      <c r="F83" s="86">
        <v>250</v>
      </c>
      <c r="G83" s="86">
        <v>81</v>
      </c>
    </row>
    <row r="84" spans="1:7" ht="15.75" thickBot="1">
      <c r="A84" s="90" t="s">
        <v>91</v>
      </c>
      <c r="B84" s="90" t="s">
        <v>92</v>
      </c>
      <c r="C84" s="86">
        <v>96</v>
      </c>
      <c r="D84" s="86">
        <v>88</v>
      </c>
      <c r="E84" s="86">
        <v>65</v>
      </c>
      <c r="F84" s="86">
        <v>249</v>
      </c>
      <c r="G84" s="86">
        <v>82</v>
      </c>
    </row>
    <row r="85" spans="1:7" ht="15.75" thickBot="1">
      <c r="A85" s="90" t="s">
        <v>306</v>
      </c>
      <c r="B85" s="90" t="s">
        <v>307</v>
      </c>
      <c r="C85" s="86">
        <v>90</v>
      </c>
      <c r="D85" s="86">
        <v>80</v>
      </c>
      <c r="E85" s="86">
        <v>77</v>
      </c>
      <c r="F85" s="86">
        <v>247</v>
      </c>
      <c r="G85" s="86">
        <v>83</v>
      </c>
    </row>
    <row r="86" spans="1:7" ht="15.75" thickBot="1">
      <c r="A86" s="90" t="s">
        <v>298</v>
      </c>
      <c r="B86" s="90" t="s">
        <v>299</v>
      </c>
      <c r="C86" s="86">
        <v>85</v>
      </c>
      <c r="D86" s="86">
        <v>79</v>
      </c>
      <c r="E86" s="86">
        <v>82</v>
      </c>
      <c r="F86" s="86">
        <v>246</v>
      </c>
      <c r="G86" s="86">
        <v>84</v>
      </c>
    </row>
    <row r="87" spans="1:7" ht="15.75" thickBot="1">
      <c r="A87" s="90" t="s">
        <v>82</v>
      </c>
      <c r="B87" s="90" t="s">
        <v>83</v>
      </c>
      <c r="C87" s="86">
        <v>81</v>
      </c>
      <c r="D87" s="86">
        <v>85</v>
      </c>
      <c r="E87" s="86">
        <v>80</v>
      </c>
      <c r="F87" s="86">
        <v>246</v>
      </c>
      <c r="G87" s="86">
        <v>85</v>
      </c>
    </row>
    <row r="88" spans="1:7" ht="15.75" thickBot="1">
      <c r="A88" s="90" t="s">
        <v>93</v>
      </c>
      <c r="B88" s="90" t="s">
        <v>94</v>
      </c>
      <c r="C88" s="86">
        <v>95</v>
      </c>
      <c r="D88" s="86">
        <v>77</v>
      </c>
      <c r="E88" s="86">
        <v>74</v>
      </c>
      <c r="F88" s="86">
        <v>246</v>
      </c>
      <c r="G88" s="86">
        <v>86</v>
      </c>
    </row>
    <row r="89" spans="1:7" ht="15.75" thickBot="1">
      <c r="A89" s="90" t="s">
        <v>181</v>
      </c>
      <c r="B89" s="90" t="s">
        <v>182</v>
      </c>
      <c r="C89" s="86">
        <v>95</v>
      </c>
      <c r="D89" s="86">
        <v>83</v>
      </c>
      <c r="E89" s="86">
        <v>68</v>
      </c>
      <c r="F89" s="86">
        <v>246</v>
      </c>
      <c r="G89" s="86">
        <v>87</v>
      </c>
    </row>
    <row r="90" spans="1:7" ht="15.75" thickBot="1">
      <c r="A90" s="90" t="s">
        <v>187</v>
      </c>
      <c r="B90" s="90" t="s">
        <v>188</v>
      </c>
      <c r="C90" s="86">
        <v>88</v>
      </c>
      <c r="D90" s="86">
        <v>85</v>
      </c>
      <c r="E90" s="86">
        <v>71</v>
      </c>
      <c r="F90" s="86">
        <v>244</v>
      </c>
      <c r="G90" s="86">
        <v>88</v>
      </c>
    </row>
    <row r="91" spans="1:7" ht="15.75" thickBot="1">
      <c r="A91" s="90" t="s">
        <v>38</v>
      </c>
      <c r="B91" s="90" t="s">
        <v>370</v>
      </c>
      <c r="C91" s="86">
        <v>91</v>
      </c>
      <c r="D91" s="86">
        <v>76</v>
      </c>
      <c r="E91" s="86">
        <v>76</v>
      </c>
      <c r="F91" s="86">
        <v>243</v>
      </c>
      <c r="G91" s="86">
        <v>89</v>
      </c>
    </row>
    <row r="92" spans="1:7" ht="15.75" thickBot="1">
      <c r="A92" s="90" t="s">
        <v>276</v>
      </c>
      <c r="B92" s="90" t="s">
        <v>277</v>
      </c>
      <c r="C92" s="86">
        <v>95</v>
      </c>
      <c r="D92" s="86">
        <v>65</v>
      </c>
      <c r="E92" s="86">
        <v>80</v>
      </c>
      <c r="F92" s="86">
        <v>240</v>
      </c>
      <c r="G92" s="86">
        <v>90</v>
      </c>
    </row>
    <row r="93" spans="1:7" ht="15.75" thickBot="1">
      <c r="A93" s="90" t="s">
        <v>211</v>
      </c>
      <c r="B93" s="90" t="s">
        <v>212</v>
      </c>
      <c r="C93" s="86">
        <v>95</v>
      </c>
      <c r="D93" s="86">
        <v>85</v>
      </c>
      <c r="E93" s="86">
        <v>60</v>
      </c>
      <c r="F93" s="86">
        <v>240</v>
      </c>
      <c r="G93" s="86">
        <v>91</v>
      </c>
    </row>
    <row r="94" spans="1:7" ht="15.75" thickBot="1">
      <c r="A94" s="90" t="s">
        <v>84</v>
      </c>
      <c r="B94" s="90" t="s">
        <v>222</v>
      </c>
      <c r="C94" s="86">
        <v>93</v>
      </c>
      <c r="D94" s="86">
        <v>74</v>
      </c>
      <c r="E94" s="86">
        <v>72</v>
      </c>
      <c r="F94" s="86">
        <v>239</v>
      </c>
      <c r="G94" s="86">
        <v>92</v>
      </c>
    </row>
    <row r="95" spans="1:7" ht="15.75" thickBot="1">
      <c r="A95" s="90" t="s">
        <v>34</v>
      </c>
      <c r="B95" s="90" t="s">
        <v>268</v>
      </c>
      <c r="C95" s="86">
        <v>86</v>
      </c>
      <c r="D95" s="86">
        <v>83</v>
      </c>
      <c r="E95" s="86">
        <v>70</v>
      </c>
      <c r="F95" s="86">
        <v>239</v>
      </c>
      <c r="G95" s="86">
        <v>93</v>
      </c>
    </row>
    <row r="96" spans="1:7" ht="15.75" thickBot="1">
      <c r="A96" s="90" t="s">
        <v>316</v>
      </c>
      <c r="B96" s="90" t="s">
        <v>334</v>
      </c>
      <c r="C96" s="86">
        <v>85</v>
      </c>
      <c r="D96" s="86">
        <v>68</v>
      </c>
      <c r="E96" s="86">
        <v>85</v>
      </c>
      <c r="F96" s="86">
        <v>238</v>
      </c>
      <c r="G96" s="86">
        <v>94</v>
      </c>
    </row>
    <row r="97" spans="1:7" ht="15.75" thickBot="1">
      <c r="A97" s="90" t="s">
        <v>300</v>
      </c>
      <c r="B97" s="90" t="s">
        <v>301</v>
      </c>
      <c r="C97" s="86">
        <v>82</v>
      </c>
      <c r="D97" s="86">
        <v>80</v>
      </c>
      <c r="E97" s="86">
        <v>76</v>
      </c>
      <c r="F97" s="86">
        <v>238</v>
      </c>
      <c r="G97" s="86">
        <v>95</v>
      </c>
    </row>
    <row r="98" spans="1:7" ht="15.75" thickBot="1">
      <c r="A98" s="90" t="s">
        <v>308</v>
      </c>
      <c r="B98" s="90" t="s">
        <v>309</v>
      </c>
      <c r="C98" s="86">
        <v>93</v>
      </c>
      <c r="D98" s="86">
        <v>87</v>
      </c>
      <c r="E98" s="86">
        <v>56</v>
      </c>
      <c r="F98" s="86">
        <v>236</v>
      </c>
      <c r="G98" s="86">
        <v>96</v>
      </c>
    </row>
    <row r="99" spans="1:7" ht="15.75" thickBot="1">
      <c r="A99" s="90" t="s">
        <v>269</v>
      </c>
      <c r="B99" s="90" t="s">
        <v>270</v>
      </c>
      <c r="C99" s="86">
        <v>93</v>
      </c>
      <c r="D99" s="86">
        <v>74</v>
      </c>
      <c r="E99" s="86">
        <v>68</v>
      </c>
      <c r="F99" s="86">
        <v>235</v>
      </c>
      <c r="G99" s="86">
        <v>97</v>
      </c>
    </row>
    <row r="100" spans="1:7" ht="15.75" thickBot="1">
      <c r="A100" s="90" t="s">
        <v>316</v>
      </c>
      <c r="B100" s="90" t="s">
        <v>317</v>
      </c>
      <c r="C100" s="86">
        <v>81</v>
      </c>
      <c r="D100" s="86">
        <v>65</v>
      </c>
      <c r="E100" s="86">
        <v>85</v>
      </c>
      <c r="F100" s="86">
        <v>231</v>
      </c>
      <c r="G100" s="86">
        <v>98</v>
      </c>
    </row>
    <row r="101" spans="1:7" ht="15.75" thickBot="1">
      <c r="A101" s="90" t="s">
        <v>209</v>
      </c>
      <c r="B101" s="90" t="s">
        <v>320</v>
      </c>
      <c r="C101" s="86">
        <v>79</v>
      </c>
      <c r="D101" s="86">
        <v>80</v>
      </c>
      <c r="E101" s="86">
        <v>70</v>
      </c>
      <c r="F101" s="86">
        <v>229</v>
      </c>
      <c r="G101" s="86">
        <v>99</v>
      </c>
    </row>
    <row r="102" spans="1:7" ht="15.75" thickBot="1">
      <c r="A102" s="90" t="s">
        <v>368</v>
      </c>
      <c r="B102" s="90" t="s">
        <v>369</v>
      </c>
      <c r="C102" s="86">
        <v>87</v>
      </c>
      <c r="D102" s="86">
        <v>76</v>
      </c>
      <c r="E102" s="86">
        <v>65</v>
      </c>
      <c r="F102" s="86">
        <v>228</v>
      </c>
      <c r="G102" s="86">
        <v>100</v>
      </c>
    </row>
    <row r="103" spans="1:7" ht="15.75" thickBot="1">
      <c r="A103" s="90" t="s">
        <v>260</v>
      </c>
      <c r="B103" s="90" t="s">
        <v>261</v>
      </c>
      <c r="C103" s="86">
        <v>83</v>
      </c>
      <c r="D103" s="86">
        <v>70</v>
      </c>
      <c r="E103" s="86">
        <v>73</v>
      </c>
      <c r="F103" s="86">
        <v>226</v>
      </c>
      <c r="G103" s="86">
        <v>101</v>
      </c>
    </row>
    <row r="104" spans="1:7" ht="15.75" thickBot="1">
      <c r="A104" s="90" t="s">
        <v>112</v>
      </c>
      <c r="B104" s="90" t="s">
        <v>313</v>
      </c>
      <c r="C104" s="86">
        <v>84</v>
      </c>
      <c r="D104" s="86">
        <v>81</v>
      </c>
      <c r="E104" s="86">
        <v>61</v>
      </c>
      <c r="F104" s="86">
        <v>226</v>
      </c>
      <c r="G104" s="86">
        <v>102</v>
      </c>
    </row>
    <row r="105" spans="1:7" ht="15.75" thickBot="1">
      <c r="A105" s="90" t="s">
        <v>258</v>
      </c>
      <c r="B105" s="90" t="s">
        <v>259</v>
      </c>
      <c r="C105" s="86">
        <v>89</v>
      </c>
      <c r="D105" s="86">
        <v>80</v>
      </c>
      <c r="E105" s="86">
        <v>56</v>
      </c>
      <c r="F105" s="86">
        <v>225</v>
      </c>
      <c r="G105" s="86">
        <v>103</v>
      </c>
    </row>
    <row r="106" spans="1:7" ht="15.75" thickBot="1">
      <c r="A106" s="90" t="s">
        <v>209</v>
      </c>
      <c r="B106" s="90" t="s">
        <v>210</v>
      </c>
      <c r="C106" s="86">
        <v>83</v>
      </c>
      <c r="D106" s="86">
        <v>87</v>
      </c>
      <c r="E106" s="86">
        <v>55</v>
      </c>
      <c r="F106" s="86">
        <v>225</v>
      </c>
      <c r="G106" s="86">
        <v>104</v>
      </c>
    </row>
    <row r="107" spans="1:7" ht="15.75" thickBot="1">
      <c r="A107" s="90" t="s">
        <v>336</v>
      </c>
      <c r="B107" s="90" t="s">
        <v>337</v>
      </c>
      <c r="C107" s="86">
        <v>81</v>
      </c>
      <c r="D107" s="86">
        <v>67</v>
      </c>
      <c r="E107" s="86">
        <v>76</v>
      </c>
      <c r="F107" s="86">
        <v>224</v>
      </c>
      <c r="G107" s="86">
        <v>105</v>
      </c>
    </row>
    <row r="108" spans="1:7" ht="15.75" thickBot="1">
      <c r="A108" s="90" t="s">
        <v>297</v>
      </c>
      <c r="B108" s="90" t="s">
        <v>321</v>
      </c>
      <c r="C108" s="86">
        <v>89</v>
      </c>
      <c r="D108" s="86">
        <v>75</v>
      </c>
      <c r="E108" s="86">
        <v>60</v>
      </c>
      <c r="F108" s="86">
        <v>224</v>
      </c>
      <c r="G108" s="86">
        <v>106</v>
      </c>
    </row>
    <row r="109" spans="1:7" ht="30.75" thickBot="1">
      <c r="A109" s="90" t="s">
        <v>361</v>
      </c>
      <c r="B109" s="90" t="s">
        <v>362</v>
      </c>
      <c r="C109" s="86">
        <v>94</v>
      </c>
      <c r="D109" s="86">
        <v>82</v>
      </c>
      <c r="E109" s="86">
        <v>48</v>
      </c>
      <c r="F109" s="86">
        <v>224</v>
      </c>
      <c r="G109" s="86">
        <v>107</v>
      </c>
    </row>
    <row r="110" spans="1:7" ht="15.75" thickBot="1">
      <c r="A110" s="90" t="s">
        <v>64</v>
      </c>
      <c r="B110" s="90" t="s">
        <v>334</v>
      </c>
      <c r="C110" s="86">
        <v>73</v>
      </c>
      <c r="D110" s="86">
        <v>76</v>
      </c>
      <c r="E110" s="86">
        <v>74</v>
      </c>
      <c r="F110" s="86">
        <v>223</v>
      </c>
      <c r="G110" s="86">
        <v>108</v>
      </c>
    </row>
    <row r="111" spans="1:7" ht="15.75" thickBot="1">
      <c r="A111" s="90" t="s">
        <v>331</v>
      </c>
      <c r="B111" s="90" t="s">
        <v>332</v>
      </c>
      <c r="C111" s="86">
        <v>93</v>
      </c>
      <c r="D111" s="86">
        <v>67</v>
      </c>
      <c r="E111" s="86">
        <v>59</v>
      </c>
      <c r="F111" s="86">
        <v>219</v>
      </c>
      <c r="G111" s="86">
        <v>109</v>
      </c>
    </row>
    <row r="112" spans="1:7" ht="15.75" thickBot="1">
      <c r="A112" s="90" t="s">
        <v>292</v>
      </c>
      <c r="B112" s="90" t="s">
        <v>293</v>
      </c>
      <c r="C112" s="86">
        <v>88</v>
      </c>
      <c r="D112" s="86">
        <v>73</v>
      </c>
      <c r="E112" s="86">
        <v>57</v>
      </c>
      <c r="F112" s="86">
        <v>218</v>
      </c>
      <c r="G112" s="86">
        <v>110</v>
      </c>
    </row>
    <row r="113" spans="1:7" ht="15.75" thickBot="1">
      <c r="A113" s="90" t="s">
        <v>215</v>
      </c>
      <c r="B113" s="90" t="s">
        <v>216</v>
      </c>
      <c r="C113" s="86">
        <v>92</v>
      </c>
      <c r="D113" s="86">
        <v>81</v>
      </c>
      <c r="E113" s="86">
        <v>44</v>
      </c>
      <c r="F113" s="86">
        <v>217</v>
      </c>
      <c r="G113" s="86">
        <v>111</v>
      </c>
    </row>
    <row r="114" spans="1:7" ht="15.75" thickBot="1">
      <c r="A114" s="90" t="s">
        <v>290</v>
      </c>
      <c r="B114" s="90" t="s">
        <v>291</v>
      </c>
      <c r="C114" s="86">
        <v>83</v>
      </c>
      <c r="D114" s="86">
        <v>77</v>
      </c>
      <c r="E114" s="86">
        <v>56</v>
      </c>
      <c r="F114" s="86">
        <v>216</v>
      </c>
      <c r="G114" s="86">
        <v>112</v>
      </c>
    </row>
    <row r="115" spans="1:7" ht="15.75" thickBot="1">
      <c r="A115" s="90" t="s">
        <v>350</v>
      </c>
      <c r="B115" s="90" t="s">
        <v>351</v>
      </c>
      <c r="C115" s="86">
        <v>87</v>
      </c>
      <c r="D115" s="86">
        <v>83</v>
      </c>
      <c r="E115" s="86">
        <v>45</v>
      </c>
      <c r="F115" s="86">
        <v>215</v>
      </c>
      <c r="G115" s="86">
        <v>113</v>
      </c>
    </row>
    <row r="116" spans="1:7" ht="15.75" thickBot="1">
      <c r="A116" s="90" t="s">
        <v>250</v>
      </c>
      <c r="B116" s="90" t="s">
        <v>251</v>
      </c>
      <c r="C116" s="86">
        <v>78</v>
      </c>
      <c r="D116" s="86">
        <v>84</v>
      </c>
      <c r="E116" s="86">
        <v>51</v>
      </c>
      <c r="F116" s="86">
        <v>213</v>
      </c>
      <c r="G116" s="86">
        <v>114</v>
      </c>
    </row>
    <row r="117" spans="1:7" ht="15.75" thickBot="1">
      <c r="A117" s="90" t="s">
        <v>40</v>
      </c>
      <c r="B117" s="90" t="s">
        <v>275</v>
      </c>
      <c r="C117" s="86">
        <v>87</v>
      </c>
      <c r="D117" s="86">
        <v>76</v>
      </c>
      <c r="E117" s="86">
        <v>50</v>
      </c>
      <c r="F117" s="86">
        <v>213</v>
      </c>
      <c r="G117" s="86">
        <v>115</v>
      </c>
    </row>
    <row r="118" spans="1:7" ht="15.75" thickBot="1">
      <c r="A118" s="90" t="s">
        <v>311</v>
      </c>
      <c r="B118" s="90" t="s">
        <v>312</v>
      </c>
      <c r="C118" s="86">
        <v>78</v>
      </c>
      <c r="D118" s="86">
        <v>68</v>
      </c>
      <c r="E118" s="86">
        <v>65</v>
      </c>
      <c r="F118" s="86">
        <v>211</v>
      </c>
      <c r="G118" s="86">
        <v>116</v>
      </c>
    </row>
    <row r="119" spans="1:7" ht="15.75" thickBot="1">
      <c r="A119" s="90" t="s">
        <v>262</v>
      </c>
      <c r="B119" s="90" t="s">
        <v>263</v>
      </c>
      <c r="C119" s="86">
        <v>87</v>
      </c>
      <c r="D119" s="86">
        <v>61</v>
      </c>
      <c r="E119" s="86">
        <v>63</v>
      </c>
      <c r="F119" s="86">
        <v>211</v>
      </c>
      <c r="G119" s="86">
        <v>117</v>
      </c>
    </row>
    <row r="120" spans="1:7" ht="15.75" thickBot="1">
      <c r="A120" s="90" t="s">
        <v>154</v>
      </c>
      <c r="B120" s="90" t="s">
        <v>109</v>
      </c>
      <c r="C120" s="86">
        <v>69</v>
      </c>
      <c r="D120" s="86">
        <v>83</v>
      </c>
      <c r="E120" s="86">
        <v>56</v>
      </c>
      <c r="F120" s="86">
        <v>208</v>
      </c>
      <c r="G120" s="86">
        <v>118</v>
      </c>
    </row>
    <row r="121" spans="1:7" ht="15.75" thickBot="1">
      <c r="A121" s="90" t="s">
        <v>148</v>
      </c>
      <c r="B121" s="90" t="s">
        <v>149</v>
      </c>
      <c r="C121" s="86">
        <v>77</v>
      </c>
      <c r="D121" s="86">
        <v>74</v>
      </c>
      <c r="E121" s="86">
        <v>56</v>
      </c>
      <c r="F121" s="86">
        <v>207</v>
      </c>
      <c r="G121" s="86">
        <v>119</v>
      </c>
    </row>
    <row r="122" spans="1:7" ht="15.75" thickBot="1">
      <c r="A122" s="90" t="s">
        <v>273</v>
      </c>
      <c r="B122" s="90" t="s">
        <v>274</v>
      </c>
      <c r="C122" s="86">
        <v>92</v>
      </c>
      <c r="D122" s="86">
        <v>74</v>
      </c>
      <c r="E122" s="86">
        <v>40</v>
      </c>
      <c r="F122" s="86">
        <v>206</v>
      </c>
      <c r="G122" s="86">
        <v>120</v>
      </c>
    </row>
    <row r="123" spans="1:7" ht="15.75" thickBot="1">
      <c r="A123" s="90" t="s">
        <v>235</v>
      </c>
      <c r="B123" s="90" t="s">
        <v>236</v>
      </c>
      <c r="C123" s="86">
        <v>93</v>
      </c>
      <c r="D123" s="86">
        <v>63</v>
      </c>
      <c r="E123" s="86">
        <v>45</v>
      </c>
      <c r="F123" s="86">
        <v>201</v>
      </c>
      <c r="G123" s="86">
        <v>121</v>
      </c>
    </row>
    <row r="124" spans="1:7" ht="15.75" thickBot="1">
      <c r="A124" s="90" t="s">
        <v>324</v>
      </c>
      <c r="B124" s="90" t="s">
        <v>325</v>
      </c>
      <c r="C124" s="86">
        <v>88</v>
      </c>
      <c r="D124" s="86">
        <v>65</v>
      </c>
      <c r="E124" s="86">
        <v>42</v>
      </c>
      <c r="F124" s="86">
        <v>195</v>
      </c>
      <c r="G124" s="86">
        <v>122</v>
      </c>
    </row>
    <row r="125" spans="1:7" ht="15.75" thickBot="1">
      <c r="A125" s="90" t="s">
        <v>366</v>
      </c>
      <c r="B125" s="90" t="s">
        <v>367</v>
      </c>
      <c r="C125" s="86">
        <v>80</v>
      </c>
      <c r="D125" s="86">
        <v>65</v>
      </c>
      <c r="E125" s="86">
        <v>47</v>
      </c>
      <c r="F125" s="86">
        <v>192</v>
      </c>
      <c r="G125" s="86">
        <v>123</v>
      </c>
    </row>
    <row r="126" spans="1:7" ht="15.75" thickBot="1">
      <c r="A126" s="90" t="s">
        <v>225</v>
      </c>
      <c r="B126" s="90" t="s">
        <v>226</v>
      </c>
      <c r="C126" s="86">
        <v>57</v>
      </c>
      <c r="D126" s="86">
        <v>77</v>
      </c>
      <c r="E126" s="86">
        <v>57</v>
      </c>
      <c r="F126" s="86">
        <v>191</v>
      </c>
      <c r="G126" s="86">
        <v>124</v>
      </c>
    </row>
    <row r="127" spans="1:7" ht="15.75" thickBot="1">
      <c r="A127" s="90" t="s">
        <v>278</v>
      </c>
      <c r="B127" s="90" t="s">
        <v>279</v>
      </c>
      <c r="C127" s="86">
        <v>86</v>
      </c>
      <c r="D127" s="86">
        <v>79</v>
      </c>
      <c r="E127" s="86">
        <v>25</v>
      </c>
      <c r="F127" s="86">
        <v>190</v>
      </c>
      <c r="G127" s="86">
        <v>125</v>
      </c>
    </row>
    <row r="128" spans="1:7" ht="15.75" thickBot="1">
      <c r="A128" s="90" t="s">
        <v>40</v>
      </c>
      <c r="B128" s="90" t="s">
        <v>267</v>
      </c>
      <c r="C128" s="86">
        <v>77</v>
      </c>
      <c r="D128" s="86">
        <v>63</v>
      </c>
      <c r="E128" s="86">
        <v>43</v>
      </c>
      <c r="F128" s="86">
        <v>183</v>
      </c>
      <c r="G128" s="86">
        <v>126</v>
      </c>
    </row>
    <row r="129" spans="1:7" ht="15.75" thickBot="1">
      <c r="A129" s="90" t="s">
        <v>326</v>
      </c>
      <c r="B129" s="90" t="s">
        <v>327</v>
      </c>
      <c r="C129" s="86">
        <v>75</v>
      </c>
      <c r="D129" s="86">
        <v>55</v>
      </c>
      <c r="E129" s="86">
        <v>34</v>
      </c>
      <c r="F129" s="86">
        <v>164</v>
      </c>
      <c r="G129" s="86">
        <v>127</v>
      </c>
    </row>
    <row r="130" spans="1:7" ht="15.75" thickBot="1">
      <c r="A130" s="90" t="s">
        <v>373</v>
      </c>
      <c r="B130" s="90" t="s">
        <v>374</v>
      </c>
      <c r="C130" s="86">
        <v>67</v>
      </c>
      <c r="D130" s="86">
        <v>52</v>
      </c>
      <c r="E130" s="86">
        <v>23</v>
      </c>
      <c r="F130" s="86">
        <v>142</v>
      </c>
      <c r="G130" s="86">
        <v>128</v>
      </c>
    </row>
    <row r="131" spans="1:7" ht="15.75" thickBot="1">
      <c r="A131" s="90" t="s">
        <v>239</v>
      </c>
      <c r="B131" s="90" t="s">
        <v>240</v>
      </c>
      <c r="C131" s="86">
        <v>64</v>
      </c>
      <c r="D131" s="86">
        <v>47</v>
      </c>
      <c r="E131" s="86">
        <v>28</v>
      </c>
      <c r="F131" s="86">
        <v>139</v>
      </c>
      <c r="G131" s="86">
        <v>129</v>
      </c>
    </row>
    <row r="132" spans="1:7" ht="15.75" thickBot="1">
      <c r="A132" s="90" t="s">
        <v>229</v>
      </c>
      <c r="B132" s="90" t="s">
        <v>230</v>
      </c>
      <c r="C132" s="86">
        <v>32</v>
      </c>
      <c r="D132" s="86">
        <v>42</v>
      </c>
      <c r="E132" s="86">
        <v>52</v>
      </c>
      <c r="F132" s="86">
        <v>126</v>
      </c>
      <c r="G132" s="86">
        <v>130</v>
      </c>
    </row>
    <row r="133" spans="1:7" ht="16.5" thickBot="1">
      <c r="A133" s="79"/>
      <c r="B133" s="79"/>
      <c r="C133" s="92" t="s">
        <v>383</v>
      </c>
      <c r="D133" s="93"/>
      <c r="E133" s="94"/>
      <c r="F133" s="95">
        <f>SUM(F3:F132)/130</f>
        <v>248.07692307692307</v>
      </c>
      <c r="G133" s="96" t="s">
        <v>384</v>
      </c>
    </row>
  </sheetData>
  <sortState ref="A3:G132">
    <sortCondition descending="1" ref="F3:F132"/>
    <sortCondition descending="1" ref="E3:E132"/>
    <sortCondition descending="1" ref="D3:D132"/>
    <sortCondition descending="1" ref="C3:C132"/>
  </sortState>
  <mergeCells count="1">
    <mergeCell ref="C133:E13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workbookViewId="0">
      <selection activeCell="L100" sqref="L100"/>
    </sheetView>
  </sheetViews>
  <sheetFormatPr defaultColWidth="9.140625" defaultRowHeight="12.75"/>
  <cols>
    <col min="1" max="1" width="4" style="5" bestFit="1" customWidth="1"/>
    <col min="2" max="2" width="15" style="5" customWidth="1"/>
    <col min="3" max="3" width="16.85546875" style="5" customWidth="1"/>
    <col min="4" max="9" width="7" style="16" customWidth="1"/>
    <col min="10" max="10" width="11.42578125" style="5" bestFit="1" customWidth="1"/>
    <col min="11" max="16384" width="9.140625" style="5"/>
  </cols>
  <sheetData>
    <row r="1" spans="1:9" ht="26.25" thickBot="1">
      <c r="A1" s="6"/>
      <c r="B1" s="6" t="s">
        <v>377</v>
      </c>
      <c r="C1" s="6"/>
      <c r="D1" s="12"/>
      <c r="E1" s="12"/>
      <c r="F1" s="12"/>
      <c r="G1" s="12"/>
      <c r="H1" s="33"/>
      <c r="I1" s="37"/>
    </row>
    <row r="2" spans="1:9" ht="26.25" thickBot="1">
      <c r="A2" s="9" t="s">
        <v>1</v>
      </c>
      <c r="B2" s="48" t="s">
        <v>30</v>
      </c>
      <c r="C2" s="48" t="s">
        <v>31</v>
      </c>
      <c r="D2" s="49">
        <v>1</v>
      </c>
      <c r="E2" s="49">
        <v>2</v>
      </c>
      <c r="F2" s="49">
        <v>3</v>
      </c>
      <c r="G2" s="49" t="s">
        <v>6</v>
      </c>
      <c r="H2" s="73" t="s">
        <v>7</v>
      </c>
      <c r="I2" s="38" t="s">
        <v>385</v>
      </c>
    </row>
    <row r="3" spans="1:9" ht="13.5" thickBot="1">
      <c r="A3" s="47">
        <v>102</v>
      </c>
      <c r="B3" s="53" t="s">
        <v>52</v>
      </c>
      <c r="C3" s="54" t="s">
        <v>53</v>
      </c>
      <c r="D3" s="55">
        <v>95</v>
      </c>
      <c r="E3" s="55">
        <v>94</v>
      </c>
      <c r="F3" s="55">
        <v>94</v>
      </c>
      <c r="G3" s="55">
        <v>283</v>
      </c>
      <c r="H3" s="56">
        <v>1</v>
      </c>
      <c r="I3" s="72" t="s">
        <v>386</v>
      </c>
    </row>
    <row r="4" spans="1:9" ht="13.5" thickBot="1">
      <c r="A4" s="47">
        <v>24</v>
      </c>
      <c r="B4" s="57" t="s">
        <v>36</v>
      </c>
      <c r="C4" s="19" t="s">
        <v>37</v>
      </c>
      <c r="D4" s="20">
        <v>96</v>
      </c>
      <c r="E4" s="20">
        <v>91</v>
      </c>
      <c r="F4" s="20">
        <v>95</v>
      </c>
      <c r="G4" s="20">
        <v>282</v>
      </c>
      <c r="H4" s="58">
        <v>2</v>
      </c>
      <c r="I4" s="72" t="s">
        <v>386</v>
      </c>
    </row>
    <row r="5" spans="1:9" ht="13.5" thickBot="1">
      <c r="A5" s="47">
        <v>116</v>
      </c>
      <c r="B5" s="59" t="s">
        <v>101</v>
      </c>
      <c r="C5" s="60" t="s">
        <v>102</v>
      </c>
      <c r="D5" s="61">
        <v>95</v>
      </c>
      <c r="E5" s="61">
        <v>93</v>
      </c>
      <c r="F5" s="61">
        <v>94</v>
      </c>
      <c r="G5" s="61">
        <v>282</v>
      </c>
      <c r="H5" s="62">
        <v>3</v>
      </c>
      <c r="I5" s="72" t="s">
        <v>386</v>
      </c>
    </row>
    <row r="6" spans="1:9" ht="13.5" thickBot="1">
      <c r="A6" s="8">
        <v>87</v>
      </c>
      <c r="B6" s="50" t="s">
        <v>114</v>
      </c>
      <c r="C6" s="50" t="s">
        <v>115</v>
      </c>
      <c r="D6" s="51">
        <v>96</v>
      </c>
      <c r="E6" s="51">
        <v>93</v>
      </c>
      <c r="F6" s="51">
        <v>92</v>
      </c>
      <c r="G6" s="51">
        <v>281</v>
      </c>
      <c r="H6" s="66">
        <v>4</v>
      </c>
      <c r="I6" s="39" t="s">
        <v>386</v>
      </c>
    </row>
    <row r="7" spans="1:9" ht="13.5" thickBot="1">
      <c r="A7" s="8">
        <v>27</v>
      </c>
      <c r="B7" s="6" t="s">
        <v>42</v>
      </c>
      <c r="C7" s="6" t="s">
        <v>43</v>
      </c>
      <c r="D7" s="12">
        <v>95</v>
      </c>
      <c r="E7" s="12">
        <v>90</v>
      </c>
      <c r="F7" s="12">
        <v>95</v>
      </c>
      <c r="G7" s="12">
        <v>280</v>
      </c>
      <c r="H7" s="33">
        <v>5</v>
      </c>
      <c r="I7" s="39" t="s">
        <v>386</v>
      </c>
    </row>
    <row r="8" spans="1:9" ht="13.5" thickBot="1">
      <c r="A8" s="8">
        <v>130</v>
      </c>
      <c r="B8" s="6" t="s">
        <v>62</v>
      </c>
      <c r="C8" s="6" t="s">
        <v>63</v>
      </c>
      <c r="D8" s="12">
        <v>97</v>
      </c>
      <c r="E8" s="12">
        <v>92</v>
      </c>
      <c r="F8" s="12">
        <v>91</v>
      </c>
      <c r="G8" s="12">
        <v>280</v>
      </c>
      <c r="H8" s="33">
        <v>6</v>
      </c>
      <c r="I8" s="39" t="s">
        <v>386</v>
      </c>
    </row>
    <row r="9" spans="1:9" ht="13.5" thickBot="1">
      <c r="A9" s="8">
        <v>190</v>
      </c>
      <c r="B9" s="6" t="s">
        <v>60</v>
      </c>
      <c r="C9" s="6" t="s">
        <v>360</v>
      </c>
      <c r="D9" s="12">
        <v>96</v>
      </c>
      <c r="E9" s="12">
        <v>94</v>
      </c>
      <c r="F9" s="12">
        <v>90</v>
      </c>
      <c r="G9" s="12">
        <v>280</v>
      </c>
      <c r="H9" s="34">
        <v>7</v>
      </c>
      <c r="I9" s="39" t="s">
        <v>386</v>
      </c>
    </row>
    <row r="10" spans="1:9" ht="13.5" thickBot="1">
      <c r="A10" s="8">
        <v>91</v>
      </c>
      <c r="B10" s="6" t="s">
        <v>48</v>
      </c>
      <c r="C10" s="6" t="s">
        <v>227</v>
      </c>
      <c r="D10" s="12">
        <v>97</v>
      </c>
      <c r="E10" s="12">
        <v>93</v>
      </c>
      <c r="F10" s="12">
        <v>90</v>
      </c>
      <c r="G10" s="12">
        <v>280</v>
      </c>
      <c r="H10" s="33">
        <v>8</v>
      </c>
      <c r="I10" s="39" t="s">
        <v>386</v>
      </c>
    </row>
    <row r="11" spans="1:9" ht="13.5" thickBot="1">
      <c r="A11" s="8">
        <v>35</v>
      </c>
      <c r="B11" s="6" t="s">
        <v>254</v>
      </c>
      <c r="C11" s="6" t="s">
        <v>255</v>
      </c>
      <c r="D11" s="12">
        <v>93</v>
      </c>
      <c r="E11" s="12">
        <v>95</v>
      </c>
      <c r="F11" s="12">
        <v>91</v>
      </c>
      <c r="G11" s="12">
        <v>279</v>
      </c>
      <c r="H11" s="33">
        <v>9</v>
      </c>
      <c r="I11" s="39" t="s">
        <v>386</v>
      </c>
    </row>
    <row r="12" spans="1:9" ht="13.5" thickBot="1">
      <c r="A12" s="8">
        <v>50</v>
      </c>
      <c r="B12" s="6" t="s">
        <v>78</v>
      </c>
      <c r="C12" s="6" t="s">
        <v>79</v>
      </c>
      <c r="D12" s="12">
        <v>95</v>
      </c>
      <c r="E12" s="12">
        <v>93</v>
      </c>
      <c r="F12" s="12">
        <v>90</v>
      </c>
      <c r="G12" s="12">
        <v>278</v>
      </c>
      <c r="H12" s="34">
        <v>10</v>
      </c>
      <c r="I12" s="39" t="s">
        <v>386</v>
      </c>
    </row>
    <row r="13" spans="1:9" ht="13.5" thickBot="1">
      <c r="A13" s="8">
        <v>73</v>
      </c>
      <c r="B13" s="6" t="s">
        <v>95</v>
      </c>
      <c r="C13" s="6" t="s">
        <v>96</v>
      </c>
      <c r="D13" s="12">
        <v>96</v>
      </c>
      <c r="E13" s="12">
        <v>91</v>
      </c>
      <c r="F13" s="12">
        <v>90</v>
      </c>
      <c r="G13" s="12">
        <v>277</v>
      </c>
      <c r="H13" s="33">
        <v>11</v>
      </c>
      <c r="I13" s="39" t="s">
        <v>386</v>
      </c>
    </row>
    <row r="14" spans="1:9" ht="13.5" thickBot="1">
      <c r="A14" s="8">
        <v>71</v>
      </c>
      <c r="B14" s="6" t="s">
        <v>54</v>
      </c>
      <c r="C14" s="6" t="s">
        <v>55</v>
      </c>
      <c r="D14" s="12">
        <v>98</v>
      </c>
      <c r="E14" s="12">
        <v>93</v>
      </c>
      <c r="F14" s="12">
        <v>86</v>
      </c>
      <c r="G14" s="12">
        <v>277</v>
      </c>
      <c r="H14" s="33">
        <v>12</v>
      </c>
      <c r="I14" s="39" t="s">
        <v>386</v>
      </c>
    </row>
    <row r="15" spans="1:9" ht="13.5" thickBot="1">
      <c r="A15" s="8">
        <v>83</v>
      </c>
      <c r="B15" s="6" t="s">
        <v>46</v>
      </c>
      <c r="C15" s="6" t="s">
        <v>47</v>
      </c>
      <c r="D15" s="12">
        <v>98</v>
      </c>
      <c r="E15" s="12">
        <v>90</v>
      </c>
      <c r="F15" s="12">
        <v>88</v>
      </c>
      <c r="G15" s="12">
        <v>276</v>
      </c>
      <c r="H15" s="34">
        <v>13</v>
      </c>
      <c r="I15" s="39" t="s">
        <v>386</v>
      </c>
    </row>
    <row r="16" spans="1:9" ht="13.5" thickBot="1">
      <c r="A16" s="8">
        <v>33</v>
      </c>
      <c r="B16" s="6" t="s">
        <v>155</v>
      </c>
      <c r="C16" s="6" t="s">
        <v>156</v>
      </c>
      <c r="D16" s="12">
        <v>95</v>
      </c>
      <c r="E16" s="12">
        <v>94</v>
      </c>
      <c r="F16" s="12">
        <v>87</v>
      </c>
      <c r="G16" s="12">
        <v>276</v>
      </c>
      <c r="H16" s="33">
        <v>14</v>
      </c>
      <c r="I16" s="39" t="s">
        <v>386</v>
      </c>
    </row>
    <row r="17" spans="1:11" ht="13.5" thickBot="1">
      <c r="A17" s="8">
        <v>17</v>
      </c>
      <c r="B17" s="6" t="s">
        <v>108</v>
      </c>
      <c r="C17" s="6" t="s">
        <v>109</v>
      </c>
      <c r="D17" s="12">
        <v>98</v>
      </c>
      <c r="E17" s="12">
        <v>91</v>
      </c>
      <c r="F17" s="12">
        <v>87</v>
      </c>
      <c r="G17" s="12">
        <v>276</v>
      </c>
      <c r="H17" s="33">
        <v>15</v>
      </c>
      <c r="I17" s="39" t="s">
        <v>386</v>
      </c>
    </row>
    <row r="18" spans="1:11" ht="13.5" thickBot="1">
      <c r="A18" s="8">
        <v>106</v>
      </c>
      <c r="B18" s="6" t="s">
        <v>38</v>
      </c>
      <c r="C18" s="6" t="s">
        <v>39</v>
      </c>
      <c r="D18" s="12">
        <v>97</v>
      </c>
      <c r="E18" s="12">
        <v>94</v>
      </c>
      <c r="F18" s="12">
        <v>85</v>
      </c>
      <c r="G18" s="12">
        <v>276</v>
      </c>
      <c r="H18" s="34">
        <v>16</v>
      </c>
      <c r="I18" s="39" t="s">
        <v>386</v>
      </c>
      <c r="J18" s="77"/>
      <c r="K18" s="78"/>
    </row>
    <row r="19" spans="1:11" ht="13.5" thickBot="1">
      <c r="A19" s="8">
        <v>129</v>
      </c>
      <c r="B19" s="6" t="s">
        <v>110</v>
      </c>
      <c r="C19" s="6" t="s">
        <v>111</v>
      </c>
      <c r="D19" s="12">
        <v>94</v>
      </c>
      <c r="E19" s="12">
        <v>88</v>
      </c>
      <c r="F19" s="12">
        <v>92</v>
      </c>
      <c r="G19" s="12">
        <v>274</v>
      </c>
      <c r="H19" s="35">
        <v>17</v>
      </c>
      <c r="I19" s="40" t="s">
        <v>388</v>
      </c>
      <c r="J19" s="36"/>
    </row>
    <row r="20" spans="1:11" ht="13.5" thickBot="1">
      <c r="A20" s="8">
        <v>118</v>
      </c>
      <c r="B20" s="6" t="s">
        <v>231</v>
      </c>
      <c r="C20" s="6" t="s">
        <v>330</v>
      </c>
      <c r="D20" s="12">
        <v>95</v>
      </c>
      <c r="E20" s="12">
        <v>89</v>
      </c>
      <c r="F20" s="12">
        <v>90</v>
      </c>
      <c r="G20" s="12">
        <v>274</v>
      </c>
      <c r="H20" s="33">
        <v>18</v>
      </c>
      <c r="I20" s="37" t="s">
        <v>388</v>
      </c>
    </row>
    <row r="21" spans="1:11" ht="13.5" thickBot="1">
      <c r="A21" s="8">
        <v>12</v>
      </c>
      <c r="B21" s="28" t="s">
        <v>74</v>
      </c>
      <c r="C21" s="28" t="s">
        <v>75</v>
      </c>
      <c r="D21" s="21">
        <v>92</v>
      </c>
      <c r="E21" s="21">
        <v>94</v>
      </c>
      <c r="F21" s="21">
        <v>88</v>
      </c>
      <c r="G21" s="21">
        <v>274</v>
      </c>
      <c r="H21" s="34">
        <v>19</v>
      </c>
      <c r="I21" s="40" t="s">
        <v>388</v>
      </c>
    </row>
    <row r="22" spans="1:11" ht="13.5" thickBot="1">
      <c r="A22" s="8">
        <v>25</v>
      </c>
      <c r="B22" s="28" t="s">
        <v>34</v>
      </c>
      <c r="C22" s="28" t="s">
        <v>103</v>
      </c>
      <c r="D22" s="21">
        <v>96</v>
      </c>
      <c r="E22" s="21">
        <v>94</v>
      </c>
      <c r="F22" s="21">
        <v>84</v>
      </c>
      <c r="G22" s="21">
        <v>274</v>
      </c>
      <c r="H22" s="33">
        <v>20</v>
      </c>
      <c r="I22" s="37" t="s">
        <v>388</v>
      </c>
    </row>
    <row r="23" spans="1:11" ht="13.5" thickBot="1">
      <c r="A23" s="8">
        <v>54</v>
      </c>
      <c r="B23" s="28" t="s">
        <v>52</v>
      </c>
      <c r="C23" s="28" t="s">
        <v>280</v>
      </c>
      <c r="D23" s="21">
        <v>95</v>
      </c>
      <c r="E23" s="21">
        <v>97</v>
      </c>
      <c r="F23" s="21">
        <v>82</v>
      </c>
      <c r="G23" s="21">
        <v>274</v>
      </c>
      <c r="H23" s="33">
        <v>21</v>
      </c>
      <c r="I23" s="40" t="s">
        <v>388</v>
      </c>
    </row>
    <row r="24" spans="1:11" ht="13.5" thickBot="1">
      <c r="A24" s="8">
        <v>29</v>
      </c>
      <c r="B24" s="6" t="s">
        <v>247</v>
      </c>
      <c r="C24" s="6" t="s">
        <v>248</v>
      </c>
      <c r="D24" s="12">
        <v>94</v>
      </c>
      <c r="E24" s="12">
        <v>89</v>
      </c>
      <c r="F24" s="12">
        <v>90</v>
      </c>
      <c r="G24" s="12">
        <v>273</v>
      </c>
      <c r="H24" s="34">
        <v>22</v>
      </c>
      <c r="I24" s="37" t="s">
        <v>388</v>
      </c>
    </row>
    <row r="25" spans="1:11" ht="13.5" thickBot="1">
      <c r="A25" s="8">
        <v>121</v>
      </c>
      <c r="B25" s="6" t="s">
        <v>140</v>
      </c>
      <c r="C25" s="6" t="s">
        <v>333</v>
      </c>
      <c r="D25" s="12">
        <v>92</v>
      </c>
      <c r="E25" s="12">
        <v>92</v>
      </c>
      <c r="F25" s="12">
        <v>89</v>
      </c>
      <c r="G25" s="12">
        <v>273</v>
      </c>
      <c r="H25" s="33">
        <v>23</v>
      </c>
      <c r="I25" s="40" t="s">
        <v>388</v>
      </c>
    </row>
    <row r="26" spans="1:11" ht="13.5" thickBot="1">
      <c r="A26" s="8">
        <v>185</v>
      </c>
      <c r="B26" s="6" t="s">
        <v>58</v>
      </c>
      <c r="C26" s="6" t="s">
        <v>59</v>
      </c>
      <c r="D26" s="12">
        <v>97</v>
      </c>
      <c r="E26" s="12">
        <v>91</v>
      </c>
      <c r="F26" s="12">
        <v>85</v>
      </c>
      <c r="G26" s="12">
        <v>273</v>
      </c>
      <c r="H26" s="33">
        <v>24</v>
      </c>
      <c r="I26" s="37" t="s">
        <v>388</v>
      </c>
    </row>
    <row r="27" spans="1:11" ht="13.5" thickBot="1">
      <c r="A27" s="8">
        <v>62</v>
      </c>
      <c r="B27" s="6" t="s">
        <v>282</v>
      </c>
      <c r="C27" s="6" t="s">
        <v>283</v>
      </c>
      <c r="D27" s="12">
        <v>98</v>
      </c>
      <c r="E27" s="12">
        <v>91</v>
      </c>
      <c r="F27" s="12">
        <v>83</v>
      </c>
      <c r="G27" s="12">
        <v>272</v>
      </c>
      <c r="H27" s="34">
        <v>25</v>
      </c>
      <c r="I27" s="40" t="s">
        <v>388</v>
      </c>
    </row>
    <row r="28" spans="1:11" ht="13.5" thickBot="1">
      <c r="A28" s="8">
        <v>101</v>
      </c>
      <c r="B28" s="6" t="s">
        <v>89</v>
      </c>
      <c r="C28" s="6" t="s">
        <v>90</v>
      </c>
      <c r="D28" s="12">
        <v>97</v>
      </c>
      <c r="E28" s="12">
        <v>97</v>
      </c>
      <c r="F28" s="12">
        <v>78</v>
      </c>
      <c r="G28" s="12">
        <v>272</v>
      </c>
      <c r="H28" s="33">
        <v>26</v>
      </c>
      <c r="I28" s="37" t="s">
        <v>388</v>
      </c>
    </row>
    <row r="29" spans="1:11" ht="13.5" thickBot="1">
      <c r="A29" s="8">
        <v>107</v>
      </c>
      <c r="B29" s="6" t="s">
        <v>106</v>
      </c>
      <c r="C29" s="6" t="s">
        <v>107</v>
      </c>
      <c r="D29" s="12">
        <v>96</v>
      </c>
      <c r="E29" s="12">
        <v>83</v>
      </c>
      <c r="F29" s="12">
        <v>92</v>
      </c>
      <c r="G29" s="12">
        <v>271</v>
      </c>
      <c r="H29" s="33">
        <v>27</v>
      </c>
      <c r="I29" s="40" t="s">
        <v>388</v>
      </c>
    </row>
    <row r="30" spans="1:11" ht="13.5" thickBot="1">
      <c r="A30" s="8">
        <v>90</v>
      </c>
      <c r="B30" s="6" t="s">
        <v>122</v>
      </c>
      <c r="C30" s="6" t="s">
        <v>123</v>
      </c>
      <c r="D30" s="12">
        <v>92</v>
      </c>
      <c r="E30" s="12">
        <v>89</v>
      </c>
      <c r="F30" s="12">
        <v>90</v>
      </c>
      <c r="G30" s="12">
        <v>271</v>
      </c>
      <c r="H30" s="34">
        <v>28</v>
      </c>
      <c r="I30" s="37" t="s">
        <v>388</v>
      </c>
    </row>
    <row r="31" spans="1:11" ht="13.5" thickBot="1">
      <c r="A31" s="8">
        <v>65</v>
      </c>
      <c r="B31" s="6" t="s">
        <v>68</v>
      </c>
      <c r="C31" s="6" t="s">
        <v>69</v>
      </c>
      <c r="D31" s="12">
        <v>93</v>
      </c>
      <c r="E31" s="12">
        <v>88</v>
      </c>
      <c r="F31" s="12">
        <v>90</v>
      </c>
      <c r="G31" s="12">
        <v>271</v>
      </c>
      <c r="H31" s="33">
        <v>29</v>
      </c>
      <c r="I31" s="40" t="s">
        <v>388</v>
      </c>
    </row>
    <row r="32" spans="1:11" ht="13.5" thickBot="1">
      <c r="A32" s="8">
        <v>41</v>
      </c>
      <c r="B32" s="6" t="s">
        <v>264</v>
      </c>
      <c r="C32" s="6" t="s">
        <v>265</v>
      </c>
      <c r="D32" s="12">
        <v>91</v>
      </c>
      <c r="E32" s="12">
        <v>92</v>
      </c>
      <c r="F32" s="12">
        <v>88</v>
      </c>
      <c r="G32" s="12">
        <v>271</v>
      </c>
      <c r="H32" s="33">
        <v>30</v>
      </c>
      <c r="I32" s="37" t="s">
        <v>388</v>
      </c>
    </row>
    <row r="33" spans="1:12" ht="13.5" thickBot="1">
      <c r="A33" s="8">
        <v>58</v>
      </c>
      <c r="B33" s="6" t="s">
        <v>136</v>
      </c>
      <c r="C33" s="6" t="s">
        <v>137</v>
      </c>
      <c r="D33" s="12">
        <v>95</v>
      </c>
      <c r="E33" s="12">
        <v>89</v>
      </c>
      <c r="F33" s="12">
        <v>87</v>
      </c>
      <c r="G33" s="12">
        <v>271</v>
      </c>
      <c r="H33" s="34">
        <v>31</v>
      </c>
      <c r="I33" s="40" t="s">
        <v>388</v>
      </c>
      <c r="J33" s="32" t="s">
        <v>387</v>
      </c>
      <c r="K33" s="41">
        <f>G3:G33</f>
        <v>271</v>
      </c>
      <c r="L33" s="5" t="s">
        <v>388</v>
      </c>
    </row>
    <row r="34" spans="1:12" ht="13.5" thickBot="1">
      <c r="A34" s="8">
        <v>103</v>
      </c>
      <c r="B34" s="19" t="s">
        <v>70</v>
      </c>
      <c r="C34" s="19" t="s">
        <v>71</v>
      </c>
      <c r="D34" s="20">
        <v>96</v>
      </c>
      <c r="E34" s="20">
        <v>96</v>
      </c>
      <c r="F34" s="20">
        <v>76</v>
      </c>
      <c r="G34" s="20">
        <v>268</v>
      </c>
      <c r="H34" s="33">
        <v>32</v>
      </c>
      <c r="I34" s="37" t="s">
        <v>388</v>
      </c>
      <c r="J34" s="5" t="s">
        <v>379</v>
      </c>
      <c r="K34" s="32" t="s">
        <v>380</v>
      </c>
    </row>
    <row r="35" spans="1:12" ht="13.5" thickBot="1">
      <c r="A35" s="8">
        <v>59</v>
      </c>
      <c r="B35" s="22" t="s">
        <v>175</v>
      </c>
      <c r="C35" s="22" t="s">
        <v>176</v>
      </c>
      <c r="D35" s="23">
        <v>90</v>
      </c>
      <c r="E35" s="23">
        <v>90</v>
      </c>
      <c r="F35" s="23">
        <v>87</v>
      </c>
      <c r="G35" s="23">
        <v>267</v>
      </c>
      <c r="H35" s="33">
        <v>33</v>
      </c>
      <c r="I35" s="40" t="s">
        <v>388</v>
      </c>
      <c r="K35" s="5" t="s">
        <v>381</v>
      </c>
    </row>
    <row r="36" spans="1:12" ht="13.5" thickBot="1">
      <c r="A36" s="8">
        <v>66</v>
      </c>
      <c r="B36" s="24" t="s">
        <v>44</v>
      </c>
      <c r="C36" s="24" t="s">
        <v>45</v>
      </c>
      <c r="D36" s="25">
        <v>93</v>
      </c>
      <c r="E36" s="25">
        <v>92</v>
      </c>
      <c r="F36" s="25">
        <v>82</v>
      </c>
      <c r="G36" s="25">
        <v>267</v>
      </c>
      <c r="H36" s="34">
        <v>34</v>
      </c>
      <c r="I36" s="37" t="s">
        <v>388</v>
      </c>
      <c r="K36" s="5" t="s">
        <v>382</v>
      </c>
    </row>
    <row r="37" spans="1:12" ht="13.5" thickBot="1">
      <c r="A37" s="8">
        <v>124</v>
      </c>
      <c r="B37" s="6" t="s">
        <v>243</v>
      </c>
      <c r="C37" s="6" t="s">
        <v>335</v>
      </c>
      <c r="D37" s="12">
        <v>95</v>
      </c>
      <c r="E37" s="12">
        <v>91</v>
      </c>
      <c r="F37" s="12">
        <v>81</v>
      </c>
      <c r="G37" s="12">
        <v>267</v>
      </c>
      <c r="H37" s="33">
        <v>35</v>
      </c>
      <c r="I37" s="40" t="s">
        <v>388</v>
      </c>
    </row>
    <row r="38" spans="1:12" ht="13.5" thickBot="1">
      <c r="A38" s="8">
        <v>100</v>
      </c>
      <c r="B38" s="6" t="s">
        <v>110</v>
      </c>
      <c r="C38" s="6" t="s">
        <v>107</v>
      </c>
      <c r="D38" s="12">
        <v>97</v>
      </c>
      <c r="E38" s="12">
        <v>91</v>
      </c>
      <c r="F38" s="12">
        <v>79</v>
      </c>
      <c r="G38" s="12">
        <v>267</v>
      </c>
      <c r="H38" s="33">
        <v>36</v>
      </c>
      <c r="I38" s="37" t="s">
        <v>388</v>
      </c>
    </row>
    <row r="39" spans="1:12" ht="13.5" thickBot="1">
      <c r="A39" s="8">
        <v>117</v>
      </c>
      <c r="B39" s="6" t="s">
        <v>328</v>
      </c>
      <c r="C39" s="6" t="s">
        <v>329</v>
      </c>
      <c r="D39" s="12">
        <v>90</v>
      </c>
      <c r="E39" s="12">
        <v>85</v>
      </c>
      <c r="F39" s="12">
        <v>91</v>
      </c>
      <c r="G39" s="12">
        <v>266</v>
      </c>
      <c r="H39" s="34">
        <v>37</v>
      </c>
      <c r="I39" s="40" t="s">
        <v>388</v>
      </c>
    </row>
    <row r="40" spans="1:12" ht="13.5" thickBot="1">
      <c r="A40" s="8">
        <v>97</v>
      </c>
      <c r="B40" s="6" t="s">
        <v>197</v>
      </c>
      <c r="C40" s="6" t="s">
        <v>198</v>
      </c>
      <c r="D40" s="12">
        <v>91</v>
      </c>
      <c r="E40" s="12">
        <v>87</v>
      </c>
      <c r="F40" s="12">
        <v>88</v>
      </c>
      <c r="G40" s="12">
        <v>266</v>
      </c>
      <c r="H40" s="33">
        <v>38</v>
      </c>
      <c r="I40" s="37" t="s">
        <v>388</v>
      </c>
    </row>
    <row r="41" spans="1:12" ht="13.5" thickBot="1">
      <c r="A41" s="8">
        <v>86</v>
      </c>
      <c r="B41" s="6" t="s">
        <v>304</v>
      </c>
      <c r="C41" s="6" t="s">
        <v>305</v>
      </c>
      <c r="D41" s="12">
        <v>94</v>
      </c>
      <c r="E41" s="12">
        <v>86</v>
      </c>
      <c r="F41" s="12">
        <v>86</v>
      </c>
      <c r="G41" s="12">
        <v>266</v>
      </c>
      <c r="H41" s="33">
        <v>39</v>
      </c>
      <c r="I41" s="40" t="s">
        <v>388</v>
      </c>
    </row>
    <row r="42" spans="1:12" ht="13.5" thickBot="1">
      <c r="A42" s="8">
        <v>55</v>
      </c>
      <c r="B42" s="6" t="s">
        <v>32</v>
      </c>
      <c r="C42" s="6" t="s">
        <v>33</v>
      </c>
      <c r="D42" s="12">
        <v>95</v>
      </c>
      <c r="E42" s="12">
        <v>86</v>
      </c>
      <c r="F42" s="12">
        <v>84</v>
      </c>
      <c r="G42" s="12">
        <v>265</v>
      </c>
      <c r="H42" s="34">
        <v>40</v>
      </c>
      <c r="I42" s="37" t="s">
        <v>388</v>
      </c>
    </row>
    <row r="43" spans="1:12" ht="13.5" thickBot="1">
      <c r="A43" s="8">
        <v>69</v>
      </c>
      <c r="B43" s="6" t="s">
        <v>104</v>
      </c>
      <c r="C43" s="6" t="s">
        <v>105</v>
      </c>
      <c r="D43" s="12">
        <v>93</v>
      </c>
      <c r="E43" s="12">
        <v>84</v>
      </c>
      <c r="F43" s="12">
        <v>87</v>
      </c>
      <c r="G43" s="12">
        <v>264</v>
      </c>
      <c r="H43" s="33">
        <v>41</v>
      </c>
      <c r="I43" s="40" t="s">
        <v>388</v>
      </c>
    </row>
    <row r="44" spans="1:12" ht="13.5" thickBot="1">
      <c r="A44" s="8">
        <v>194</v>
      </c>
      <c r="B44" s="6" t="s">
        <v>165</v>
      </c>
      <c r="C44" s="6" t="s">
        <v>230</v>
      </c>
      <c r="D44" s="12">
        <v>95</v>
      </c>
      <c r="E44" s="12">
        <v>90</v>
      </c>
      <c r="F44" s="12">
        <v>79</v>
      </c>
      <c r="G44" s="12">
        <v>264</v>
      </c>
      <c r="H44" s="33">
        <v>42</v>
      </c>
      <c r="I44" s="37" t="s">
        <v>388</v>
      </c>
    </row>
    <row r="45" spans="1:12" ht="13.5" thickBot="1">
      <c r="A45" s="8">
        <v>5</v>
      </c>
      <c r="B45" s="6" t="s">
        <v>142</v>
      </c>
      <c r="C45" s="6" t="s">
        <v>143</v>
      </c>
      <c r="D45" s="12">
        <v>94</v>
      </c>
      <c r="E45" s="12">
        <v>83</v>
      </c>
      <c r="F45" s="12">
        <v>86</v>
      </c>
      <c r="G45" s="12">
        <v>263</v>
      </c>
      <c r="H45" s="34">
        <v>43</v>
      </c>
      <c r="I45" s="40" t="s">
        <v>388</v>
      </c>
    </row>
    <row r="46" spans="1:12" ht="13.5" thickBot="1">
      <c r="A46" s="8">
        <v>187</v>
      </c>
      <c r="B46" s="6" t="s">
        <v>162</v>
      </c>
      <c r="C46" s="6" t="s">
        <v>357</v>
      </c>
      <c r="D46" s="12">
        <v>91</v>
      </c>
      <c r="E46" s="12">
        <v>88</v>
      </c>
      <c r="F46" s="12">
        <v>84</v>
      </c>
      <c r="G46" s="12">
        <v>263</v>
      </c>
      <c r="H46" s="33">
        <v>44</v>
      </c>
      <c r="I46" s="37" t="s">
        <v>388</v>
      </c>
    </row>
    <row r="47" spans="1:12" ht="13.5" thickBot="1">
      <c r="A47" s="8">
        <v>51</v>
      </c>
      <c r="B47" s="6" t="s">
        <v>130</v>
      </c>
      <c r="C47" s="6" t="s">
        <v>131</v>
      </c>
      <c r="D47" s="12">
        <v>95</v>
      </c>
      <c r="E47" s="12">
        <v>84</v>
      </c>
      <c r="F47" s="12">
        <v>83</v>
      </c>
      <c r="G47" s="12">
        <v>262</v>
      </c>
      <c r="H47" s="33">
        <v>45</v>
      </c>
      <c r="I47" s="40" t="s">
        <v>388</v>
      </c>
    </row>
    <row r="48" spans="1:12" ht="13.5" thickBot="1">
      <c r="A48" s="8">
        <v>188</v>
      </c>
      <c r="B48" s="6" t="s">
        <v>233</v>
      </c>
      <c r="C48" s="6" t="s">
        <v>358</v>
      </c>
      <c r="D48" s="12">
        <v>97</v>
      </c>
      <c r="E48" s="12">
        <v>87</v>
      </c>
      <c r="F48" s="12">
        <v>78</v>
      </c>
      <c r="G48" s="12">
        <v>262</v>
      </c>
      <c r="H48" s="34">
        <v>46</v>
      </c>
      <c r="I48" s="37" t="s">
        <v>388</v>
      </c>
    </row>
    <row r="49" spans="1:9" ht="13.5" thickBot="1">
      <c r="A49" s="8">
        <v>42</v>
      </c>
      <c r="B49" s="6" t="s">
        <v>44</v>
      </c>
      <c r="C49" s="6" t="s">
        <v>266</v>
      </c>
      <c r="D49" s="12">
        <v>96</v>
      </c>
      <c r="E49" s="12">
        <v>89</v>
      </c>
      <c r="F49" s="12">
        <v>77</v>
      </c>
      <c r="G49" s="12">
        <v>262</v>
      </c>
      <c r="H49" s="33">
        <v>47</v>
      </c>
      <c r="I49" s="40" t="s">
        <v>388</v>
      </c>
    </row>
    <row r="50" spans="1:9" ht="13.5" thickBot="1">
      <c r="A50" s="8">
        <v>67</v>
      </c>
      <c r="B50" s="6" t="s">
        <v>99</v>
      </c>
      <c r="C50" s="6" t="s">
        <v>100</v>
      </c>
      <c r="D50" s="12">
        <v>94</v>
      </c>
      <c r="E50" s="12">
        <v>92</v>
      </c>
      <c r="F50" s="12">
        <v>76</v>
      </c>
      <c r="G50" s="12">
        <v>262</v>
      </c>
      <c r="H50" s="33">
        <v>48</v>
      </c>
      <c r="I50" s="37" t="s">
        <v>388</v>
      </c>
    </row>
    <row r="51" spans="1:9" ht="13.5" thickBot="1">
      <c r="A51" s="8">
        <v>47</v>
      </c>
      <c r="B51" s="6" t="s">
        <v>50</v>
      </c>
      <c r="C51" s="6" t="s">
        <v>51</v>
      </c>
      <c r="D51" s="12">
        <v>92</v>
      </c>
      <c r="E51" s="12">
        <v>84</v>
      </c>
      <c r="F51" s="12">
        <v>85</v>
      </c>
      <c r="G51" s="12">
        <v>261</v>
      </c>
      <c r="H51" s="34">
        <v>49</v>
      </c>
      <c r="I51" s="40" t="s">
        <v>388</v>
      </c>
    </row>
    <row r="52" spans="1:9" ht="13.5" thickBot="1">
      <c r="A52" s="8">
        <v>57</v>
      </c>
      <c r="B52" s="6" t="s">
        <v>60</v>
      </c>
      <c r="C52" s="6" t="s">
        <v>281</v>
      </c>
      <c r="D52" s="12">
        <v>93</v>
      </c>
      <c r="E52" s="12">
        <v>83</v>
      </c>
      <c r="F52" s="12">
        <v>84</v>
      </c>
      <c r="G52" s="12">
        <v>260</v>
      </c>
      <c r="H52" s="33">
        <v>50</v>
      </c>
      <c r="I52" s="37" t="s">
        <v>388</v>
      </c>
    </row>
    <row r="53" spans="1:9" ht="13.5" thickBot="1">
      <c r="A53" s="8">
        <v>21</v>
      </c>
      <c r="B53" s="6" t="s">
        <v>245</v>
      </c>
      <c r="C53" s="6" t="s">
        <v>246</v>
      </c>
      <c r="D53" s="12">
        <v>94</v>
      </c>
      <c r="E53" s="12">
        <v>87</v>
      </c>
      <c r="F53" s="12">
        <v>79</v>
      </c>
      <c r="G53" s="12">
        <v>260</v>
      </c>
      <c r="H53" s="33">
        <v>51</v>
      </c>
      <c r="I53" s="40" t="s">
        <v>388</v>
      </c>
    </row>
    <row r="54" spans="1:9" ht="13.5" thickBot="1">
      <c r="A54" s="8">
        <v>60</v>
      </c>
      <c r="B54" s="6" t="s">
        <v>34</v>
      </c>
      <c r="C54" s="6" t="s">
        <v>157</v>
      </c>
      <c r="D54" s="12">
        <v>89</v>
      </c>
      <c r="E54" s="12">
        <v>87</v>
      </c>
      <c r="F54" s="12">
        <v>83</v>
      </c>
      <c r="G54" s="12">
        <v>259</v>
      </c>
      <c r="H54" s="34">
        <v>52</v>
      </c>
      <c r="I54" s="39" t="s">
        <v>384</v>
      </c>
    </row>
    <row r="55" spans="1:9" ht="13.5" thickBot="1">
      <c r="A55" s="8">
        <v>28</v>
      </c>
      <c r="B55" s="6" t="s">
        <v>146</v>
      </c>
      <c r="C55" s="6" t="s">
        <v>147</v>
      </c>
      <c r="D55" s="12">
        <v>91</v>
      </c>
      <c r="E55" s="12">
        <v>92</v>
      </c>
      <c r="F55" s="12">
        <v>76</v>
      </c>
      <c r="G55" s="12">
        <v>259</v>
      </c>
      <c r="H55" s="33">
        <v>53</v>
      </c>
      <c r="I55" s="37" t="s">
        <v>384</v>
      </c>
    </row>
    <row r="56" spans="1:9" ht="13.5" thickBot="1">
      <c r="A56" s="8">
        <v>193</v>
      </c>
      <c r="B56" s="6" t="s">
        <v>364</v>
      </c>
      <c r="C56" s="6" t="s">
        <v>365</v>
      </c>
      <c r="D56" s="12">
        <v>95</v>
      </c>
      <c r="E56" s="12">
        <v>88</v>
      </c>
      <c r="F56" s="12">
        <v>76</v>
      </c>
      <c r="G56" s="12">
        <v>259</v>
      </c>
      <c r="H56" s="33">
        <v>54</v>
      </c>
      <c r="I56" s="39" t="s">
        <v>384</v>
      </c>
    </row>
    <row r="57" spans="1:9" ht="13.5" thickBot="1">
      <c r="A57" s="8">
        <v>32</v>
      </c>
      <c r="B57" s="6" t="s">
        <v>252</v>
      </c>
      <c r="C57" s="6" t="s">
        <v>253</v>
      </c>
      <c r="D57" s="12">
        <v>92</v>
      </c>
      <c r="E57" s="12">
        <v>86</v>
      </c>
      <c r="F57" s="12">
        <v>80</v>
      </c>
      <c r="G57" s="12">
        <v>258</v>
      </c>
      <c r="H57" s="34">
        <v>55</v>
      </c>
      <c r="I57" s="37" t="s">
        <v>384</v>
      </c>
    </row>
    <row r="58" spans="1:9" ht="13.5" thickBot="1">
      <c r="A58" s="8">
        <v>4</v>
      </c>
      <c r="B58" s="6" t="s">
        <v>171</v>
      </c>
      <c r="C58" s="6" t="s">
        <v>172</v>
      </c>
      <c r="D58" s="12">
        <v>96</v>
      </c>
      <c r="E58" s="12">
        <v>88</v>
      </c>
      <c r="F58" s="12">
        <v>74</v>
      </c>
      <c r="G58" s="12">
        <v>258</v>
      </c>
      <c r="H58" s="33">
        <v>56</v>
      </c>
      <c r="I58" s="39" t="s">
        <v>384</v>
      </c>
    </row>
    <row r="59" spans="1:9" ht="13.5" thickBot="1">
      <c r="A59" s="8">
        <v>34</v>
      </c>
      <c r="B59" s="6" t="s">
        <v>74</v>
      </c>
      <c r="C59" s="6" t="s">
        <v>88</v>
      </c>
      <c r="D59" s="12">
        <v>88</v>
      </c>
      <c r="E59" s="12">
        <v>87</v>
      </c>
      <c r="F59" s="12">
        <v>82</v>
      </c>
      <c r="G59" s="12">
        <v>257</v>
      </c>
      <c r="H59" s="33">
        <v>57</v>
      </c>
      <c r="I59" s="37" t="s">
        <v>384</v>
      </c>
    </row>
    <row r="60" spans="1:9" ht="13.5" thickBot="1">
      <c r="A60" s="8">
        <v>56</v>
      </c>
      <c r="B60" s="6" t="s">
        <v>179</v>
      </c>
      <c r="C60" s="6" t="s">
        <v>180</v>
      </c>
      <c r="D60" s="12">
        <v>92</v>
      </c>
      <c r="E60" s="12">
        <v>90</v>
      </c>
      <c r="F60" s="12">
        <v>75</v>
      </c>
      <c r="G60" s="12">
        <v>257</v>
      </c>
      <c r="H60" s="34">
        <v>58</v>
      </c>
      <c r="I60" s="39" t="s">
        <v>384</v>
      </c>
    </row>
    <row r="61" spans="1:9" ht="13.5" thickBot="1">
      <c r="A61" s="8">
        <v>74</v>
      </c>
      <c r="B61" s="6" t="s">
        <v>288</v>
      </c>
      <c r="C61" s="6" t="s">
        <v>289</v>
      </c>
      <c r="D61" s="12">
        <v>86</v>
      </c>
      <c r="E61" s="12">
        <v>86</v>
      </c>
      <c r="F61" s="12">
        <v>83</v>
      </c>
      <c r="G61" s="12">
        <v>255</v>
      </c>
      <c r="H61" s="33">
        <v>59</v>
      </c>
      <c r="I61" s="37" t="s">
        <v>384</v>
      </c>
    </row>
    <row r="62" spans="1:9" ht="13.5" thickBot="1">
      <c r="A62" s="8">
        <v>78</v>
      </c>
      <c r="B62" s="6" t="s">
        <v>295</v>
      </c>
      <c r="C62" s="6" t="s">
        <v>296</v>
      </c>
      <c r="D62" s="12">
        <v>84</v>
      </c>
      <c r="E62" s="12">
        <v>90</v>
      </c>
      <c r="F62" s="12">
        <v>81</v>
      </c>
      <c r="G62" s="12">
        <v>255</v>
      </c>
      <c r="H62" s="33">
        <v>60</v>
      </c>
      <c r="I62" s="39" t="s">
        <v>384</v>
      </c>
    </row>
    <row r="63" spans="1:9" ht="13.5" thickBot="1">
      <c r="A63" s="8">
        <v>8</v>
      </c>
      <c r="B63" s="6" t="s">
        <v>193</v>
      </c>
      <c r="C63" s="6" t="s">
        <v>194</v>
      </c>
      <c r="D63" s="12">
        <v>97</v>
      </c>
      <c r="E63" s="12">
        <v>83</v>
      </c>
      <c r="F63" s="12">
        <v>75</v>
      </c>
      <c r="G63" s="12">
        <v>255</v>
      </c>
      <c r="H63" s="34">
        <v>61</v>
      </c>
      <c r="I63" s="37" t="s">
        <v>384</v>
      </c>
    </row>
    <row r="64" spans="1:9" ht="13.5" thickBot="1">
      <c r="A64" s="8">
        <v>68</v>
      </c>
      <c r="B64" s="6" t="s">
        <v>217</v>
      </c>
      <c r="C64" s="6" t="s">
        <v>218</v>
      </c>
      <c r="D64" s="12">
        <v>93</v>
      </c>
      <c r="E64" s="12">
        <v>81</v>
      </c>
      <c r="F64" s="12">
        <v>80</v>
      </c>
      <c r="G64" s="12">
        <v>254</v>
      </c>
      <c r="H64" s="33">
        <v>62</v>
      </c>
      <c r="I64" s="39" t="s">
        <v>384</v>
      </c>
    </row>
    <row r="65" spans="1:9" ht="13.5" thickBot="1">
      <c r="A65" s="8">
        <v>88</v>
      </c>
      <c r="B65" s="6" t="s">
        <v>52</v>
      </c>
      <c r="C65" s="6" t="s">
        <v>164</v>
      </c>
      <c r="D65" s="12">
        <v>92</v>
      </c>
      <c r="E65" s="12">
        <v>83</v>
      </c>
      <c r="F65" s="12">
        <v>79</v>
      </c>
      <c r="G65" s="12">
        <v>254</v>
      </c>
      <c r="H65" s="33">
        <v>63</v>
      </c>
      <c r="I65" s="37" t="s">
        <v>384</v>
      </c>
    </row>
    <row r="66" spans="1:9" ht="13.5" thickBot="1">
      <c r="A66" s="8">
        <v>112</v>
      </c>
      <c r="B66" s="6" t="s">
        <v>322</v>
      </c>
      <c r="C66" s="6" t="s">
        <v>323</v>
      </c>
      <c r="D66" s="12">
        <v>91</v>
      </c>
      <c r="E66" s="12">
        <v>91</v>
      </c>
      <c r="F66" s="12">
        <v>72</v>
      </c>
      <c r="G66" s="12">
        <v>254</v>
      </c>
      <c r="H66" s="34">
        <v>64</v>
      </c>
      <c r="I66" s="39" t="s">
        <v>384</v>
      </c>
    </row>
    <row r="67" spans="1:9" ht="13.5" thickBot="1">
      <c r="A67" s="8">
        <v>108</v>
      </c>
      <c r="B67" s="6" t="s">
        <v>318</v>
      </c>
      <c r="C67" s="6" t="s">
        <v>319</v>
      </c>
      <c r="D67" s="12">
        <v>93</v>
      </c>
      <c r="E67" s="12">
        <v>81</v>
      </c>
      <c r="F67" s="12">
        <v>79</v>
      </c>
      <c r="G67" s="12">
        <v>253</v>
      </c>
      <c r="H67" s="33">
        <v>65</v>
      </c>
      <c r="I67" s="37" t="s">
        <v>384</v>
      </c>
    </row>
    <row r="68" spans="1:9" ht="13.5" thickBot="1">
      <c r="A68" s="8">
        <v>94</v>
      </c>
      <c r="B68" s="6" t="s">
        <v>142</v>
      </c>
      <c r="C68" s="6" t="s">
        <v>310</v>
      </c>
      <c r="D68" s="12">
        <v>91</v>
      </c>
      <c r="E68" s="12">
        <v>92</v>
      </c>
      <c r="F68" s="12">
        <v>70</v>
      </c>
      <c r="G68" s="12">
        <v>253</v>
      </c>
      <c r="H68" s="33">
        <v>66</v>
      </c>
      <c r="I68" s="39" t="s">
        <v>384</v>
      </c>
    </row>
    <row r="69" spans="1:9" ht="13.5" thickBot="1">
      <c r="A69" s="8">
        <v>85</v>
      </c>
      <c r="B69" s="6" t="s">
        <v>302</v>
      </c>
      <c r="C69" s="6" t="s">
        <v>303</v>
      </c>
      <c r="D69" s="12">
        <v>87</v>
      </c>
      <c r="E69" s="12">
        <v>88</v>
      </c>
      <c r="F69" s="12">
        <v>76</v>
      </c>
      <c r="G69" s="12">
        <v>251</v>
      </c>
      <c r="H69" s="34">
        <v>67</v>
      </c>
      <c r="I69" s="37" t="s">
        <v>384</v>
      </c>
    </row>
    <row r="70" spans="1:9" ht="13.5" thickBot="1">
      <c r="A70" s="8">
        <v>30</v>
      </c>
      <c r="B70" s="6" t="s">
        <v>68</v>
      </c>
      <c r="C70" s="6" t="s">
        <v>249</v>
      </c>
      <c r="D70" s="12">
        <v>93</v>
      </c>
      <c r="E70" s="12">
        <v>92</v>
      </c>
      <c r="F70" s="12">
        <v>66</v>
      </c>
      <c r="G70" s="12">
        <v>251</v>
      </c>
      <c r="H70" s="33">
        <v>68</v>
      </c>
      <c r="I70" s="39" t="s">
        <v>384</v>
      </c>
    </row>
    <row r="71" spans="1:9" ht="13.5" thickBot="1">
      <c r="A71" s="8">
        <v>7</v>
      </c>
      <c r="B71" s="6" t="s">
        <v>185</v>
      </c>
      <c r="C71" s="6" t="s">
        <v>186</v>
      </c>
      <c r="D71" s="12">
        <v>90</v>
      </c>
      <c r="E71" s="12">
        <v>84</v>
      </c>
      <c r="F71" s="12">
        <v>76</v>
      </c>
      <c r="G71" s="12">
        <v>250</v>
      </c>
      <c r="H71" s="33">
        <v>69</v>
      </c>
      <c r="I71" s="37" t="s">
        <v>384</v>
      </c>
    </row>
    <row r="72" spans="1:9" ht="13.5" thickBot="1">
      <c r="A72" s="8">
        <v>77</v>
      </c>
      <c r="B72" s="6" t="s">
        <v>294</v>
      </c>
      <c r="C72" s="6" t="s">
        <v>141</v>
      </c>
      <c r="D72" s="12">
        <v>92</v>
      </c>
      <c r="E72" s="12">
        <v>91</v>
      </c>
      <c r="F72" s="12">
        <v>67</v>
      </c>
      <c r="G72" s="12">
        <v>250</v>
      </c>
      <c r="H72" s="34">
        <v>70</v>
      </c>
      <c r="I72" s="39" t="s">
        <v>384</v>
      </c>
    </row>
    <row r="73" spans="1:9" ht="13.5" thickBot="1">
      <c r="A73" s="8">
        <v>36</v>
      </c>
      <c r="B73" s="6" t="s">
        <v>91</v>
      </c>
      <c r="C73" s="6" t="s">
        <v>92</v>
      </c>
      <c r="D73" s="12">
        <v>96</v>
      </c>
      <c r="E73" s="12">
        <v>88</v>
      </c>
      <c r="F73" s="12">
        <v>65</v>
      </c>
      <c r="G73" s="12">
        <v>249</v>
      </c>
      <c r="H73" s="33">
        <v>71</v>
      </c>
      <c r="I73" s="37" t="s">
        <v>384</v>
      </c>
    </row>
    <row r="74" spans="1:9" ht="13.5" thickBot="1">
      <c r="A74" s="8">
        <v>80</v>
      </c>
      <c r="B74" s="6" t="s">
        <v>298</v>
      </c>
      <c r="C74" s="6" t="s">
        <v>299</v>
      </c>
      <c r="D74" s="12">
        <v>85</v>
      </c>
      <c r="E74" s="12">
        <v>79</v>
      </c>
      <c r="F74" s="12">
        <v>82</v>
      </c>
      <c r="G74" s="12">
        <v>246</v>
      </c>
      <c r="H74" s="33">
        <v>72</v>
      </c>
      <c r="I74" s="39" t="s">
        <v>384</v>
      </c>
    </row>
    <row r="75" spans="1:9" ht="13.5" thickBot="1">
      <c r="A75" s="8">
        <v>2</v>
      </c>
      <c r="B75" s="6" t="s">
        <v>82</v>
      </c>
      <c r="C75" s="6" t="s">
        <v>83</v>
      </c>
      <c r="D75" s="12">
        <v>81</v>
      </c>
      <c r="E75" s="12">
        <v>85</v>
      </c>
      <c r="F75" s="12">
        <v>80</v>
      </c>
      <c r="G75" s="12">
        <v>246</v>
      </c>
      <c r="H75" s="34">
        <v>73</v>
      </c>
      <c r="I75" s="37" t="s">
        <v>384</v>
      </c>
    </row>
    <row r="76" spans="1:9" ht="13.5" thickBot="1">
      <c r="A76" s="8">
        <v>10</v>
      </c>
      <c r="B76" s="6" t="s">
        <v>93</v>
      </c>
      <c r="C76" s="6" t="s">
        <v>94</v>
      </c>
      <c r="D76" s="12">
        <v>95</v>
      </c>
      <c r="E76" s="12">
        <v>77</v>
      </c>
      <c r="F76" s="12">
        <v>74</v>
      </c>
      <c r="G76" s="12">
        <v>246</v>
      </c>
      <c r="H76" s="33">
        <v>74</v>
      </c>
      <c r="I76" s="39" t="s">
        <v>384</v>
      </c>
    </row>
    <row r="77" spans="1:9" ht="13.5" thickBot="1">
      <c r="A77" s="8">
        <v>120</v>
      </c>
      <c r="B77" s="6" t="s">
        <v>181</v>
      </c>
      <c r="C77" s="6" t="s">
        <v>182</v>
      </c>
      <c r="D77" s="12">
        <v>95</v>
      </c>
      <c r="E77" s="12">
        <v>83</v>
      </c>
      <c r="F77" s="12">
        <v>68</v>
      </c>
      <c r="G77" s="12">
        <v>246</v>
      </c>
      <c r="H77" s="33">
        <v>75</v>
      </c>
      <c r="I77" s="37" t="s">
        <v>384</v>
      </c>
    </row>
    <row r="78" spans="1:9" ht="13.5" thickBot="1">
      <c r="A78" s="8">
        <v>111</v>
      </c>
      <c r="B78" s="6" t="s">
        <v>187</v>
      </c>
      <c r="C78" s="6" t="s">
        <v>188</v>
      </c>
      <c r="D78" s="12">
        <v>88</v>
      </c>
      <c r="E78" s="12">
        <v>85</v>
      </c>
      <c r="F78" s="12">
        <v>71</v>
      </c>
      <c r="G78" s="12">
        <v>244</v>
      </c>
      <c r="H78" s="34">
        <v>76</v>
      </c>
      <c r="I78" s="39" t="s">
        <v>389</v>
      </c>
    </row>
    <row r="79" spans="1:9" ht="13.5" thickBot="1">
      <c r="A79" s="8">
        <v>197</v>
      </c>
      <c r="B79" s="6" t="s">
        <v>38</v>
      </c>
      <c r="C79" s="6" t="s">
        <v>370</v>
      </c>
      <c r="D79" s="12">
        <v>91</v>
      </c>
      <c r="E79" s="12">
        <v>76</v>
      </c>
      <c r="F79" s="12">
        <v>76</v>
      </c>
      <c r="G79" s="12">
        <v>243</v>
      </c>
      <c r="H79" s="33">
        <v>77</v>
      </c>
      <c r="I79" s="37" t="s">
        <v>389</v>
      </c>
    </row>
    <row r="80" spans="1:9" ht="13.5" thickBot="1">
      <c r="A80" s="8">
        <v>92</v>
      </c>
      <c r="B80" s="6" t="s">
        <v>211</v>
      </c>
      <c r="C80" s="6" t="s">
        <v>212</v>
      </c>
      <c r="D80" s="12">
        <v>95</v>
      </c>
      <c r="E80" s="12">
        <v>85</v>
      </c>
      <c r="F80" s="12">
        <v>60</v>
      </c>
      <c r="G80" s="12">
        <v>240</v>
      </c>
      <c r="H80" s="33">
        <v>78</v>
      </c>
      <c r="I80" s="39" t="s">
        <v>389</v>
      </c>
    </row>
    <row r="81" spans="1:11" ht="13.5" thickBot="1">
      <c r="A81" s="8">
        <v>201</v>
      </c>
      <c r="B81" s="6" t="s">
        <v>84</v>
      </c>
      <c r="C81" s="6" t="s">
        <v>222</v>
      </c>
      <c r="D81" s="12">
        <v>93</v>
      </c>
      <c r="E81" s="12">
        <v>74</v>
      </c>
      <c r="F81" s="12">
        <v>72</v>
      </c>
      <c r="G81" s="12">
        <v>239</v>
      </c>
      <c r="H81" s="34">
        <v>79</v>
      </c>
      <c r="I81" s="37" t="s">
        <v>389</v>
      </c>
    </row>
    <row r="82" spans="1:11" ht="13.5" thickBot="1">
      <c r="A82" s="8">
        <v>44</v>
      </c>
      <c r="B82" s="6" t="s">
        <v>34</v>
      </c>
      <c r="C82" s="6" t="s">
        <v>268</v>
      </c>
      <c r="D82" s="12">
        <v>86</v>
      </c>
      <c r="E82" s="12">
        <v>83</v>
      </c>
      <c r="F82" s="12">
        <v>70</v>
      </c>
      <c r="G82" s="12">
        <v>239</v>
      </c>
      <c r="H82" s="33">
        <v>80</v>
      </c>
      <c r="I82" s="39" t="s">
        <v>389</v>
      </c>
    </row>
    <row r="83" spans="1:11" ht="13.5" thickBot="1">
      <c r="A83" s="8">
        <v>81</v>
      </c>
      <c r="B83" s="6" t="s">
        <v>300</v>
      </c>
      <c r="C83" s="6" t="s">
        <v>301</v>
      </c>
      <c r="D83" s="12">
        <v>82</v>
      </c>
      <c r="E83" s="12">
        <v>80</v>
      </c>
      <c r="F83" s="12">
        <v>76</v>
      </c>
      <c r="G83" s="12">
        <v>238</v>
      </c>
      <c r="H83" s="33">
        <v>81</v>
      </c>
      <c r="I83" s="37" t="s">
        <v>389</v>
      </c>
    </row>
    <row r="84" spans="1:11" ht="13.5" thickBot="1">
      <c r="A84" s="8">
        <v>93</v>
      </c>
      <c r="B84" s="6" t="s">
        <v>308</v>
      </c>
      <c r="C84" s="6" t="s">
        <v>309</v>
      </c>
      <c r="D84" s="12">
        <v>93</v>
      </c>
      <c r="E84" s="12">
        <v>87</v>
      </c>
      <c r="F84" s="12">
        <v>56</v>
      </c>
      <c r="G84" s="12">
        <v>236</v>
      </c>
      <c r="H84" s="34">
        <v>82</v>
      </c>
      <c r="I84" s="39" t="s">
        <v>389</v>
      </c>
    </row>
    <row r="85" spans="1:11" ht="13.5" thickBot="1">
      <c r="A85" s="8">
        <v>109</v>
      </c>
      <c r="B85" s="6" t="s">
        <v>209</v>
      </c>
      <c r="C85" s="6" t="s">
        <v>320</v>
      </c>
      <c r="D85" s="12">
        <v>79</v>
      </c>
      <c r="E85" s="12">
        <v>80</v>
      </c>
      <c r="F85" s="12">
        <v>70</v>
      </c>
      <c r="G85" s="12">
        <v>229</v>
      </c>
      <c r="H85" s="33">
        <v>83</v>
      </c>
      <c r="I85" s="37" t="s">
        <v>389</v>
      </c>
    </row>
    <row r="86" spans="1:11" ht="13.5" thickBot="1">
      <c r="A86" s="8">
        <v>196</v>
      </c>
      <c r="B86" s="6" t="s">
        <v>368</v>
      </c>
      <c r="C86" s="6" t="s">
        <v>369</v>
      </c>
      <c r="D86" s="12">
        <v>87</v>
      </c>
      <c r="E86" s="12">
        <v>76</v>
      </c>
      <c r="F86" s="12">
        <v>65</v>
      </c>
      <c r="G86" s="12">
        <v>228</v>
      </c>
      <c r="H86" s="33">
        <v>84</v>
      </c>
      <c r="I86" s="39" t="s">
        <v>389</v>
      </c>
    </row>
    <row r="87" spans="1:11" ht="13.5" thickBot="1">
      <c r="A87" s="8">
        <v>98</v>
      </c>
      <c r="B87" s="6" t="s">
        <v>112</v>
      </c>
      <c r="C87" s="6" t="s">
        <v>313</v>
      </c>
      <c r="D87" s="12">
        <v>84</v>
      </c>
      <c r="E87" s="12">
        <v>81</v>
      </c>
      <c r="F87" s="12">
        <v>61</v>
      </c>
      <c r="G87" s="12">
        <v>226</v>
      </c>
      <c r="H87" s="34">
        <v>85</v>
      </c>
      <c r="I87" s="37" t="s">
        <v>389</v>
      </c>
    </row>
    <row r="88" spans="1:11" ht="13.5" thickBot="1">
      <c r="A88" s="8">
        <v>9</v>
      </c>
      <c r="B88" s="6" t="s">
        <v>209</v>
      </c>
      <c r="C88" s="6" t="s">
        <v>210</v>
      </c>
      <c r="D88" s="12">
        <v>83</v>
      </c>
      <c r="E88" s="12">
        <v>87</v>
      </c>
      <c r="F88" s="12">
        <v>55</v>
      </c>
      <c r="G88" s="12">
        <v>225</v>
      </c>
      <c r="H88" s="33">
        <v>86</v>
      </c>
      <c r="I88" s="39" t="s">
        <v>389</v>
      </c>
    </row>
    <row r="89" spans="1:11" ht="13.5" thickBot="1">
      <c r="A89" s="8">
        <v>125</v>
      </c>
      <c r="B89" s="6" t="s">
        <v>336</v>
      </c>
      <c r="C89" s="6" t="s">
        <v>337</v>
      </c>
      <c r="D89" s="12">
        <v>81</v>
      </c>
      <c r="E89" s="12">
        <v>67</v>
      </c>
      <c r="F89" s="12">
        <v>76</v>
      </c>
      <c r="G89" s="12">
        <v>224</v>
      </c>
      <c r="H89" s="33">
        <v>87</v>
      </c>
      <c r="I89" s="37" t="s">
        <v>390</v>
      </c>
    </row>
    <row r="90" spans="1:11" ht="13.5" thickBot="1">
      <c r="A90" s="8">
        <v>110</v>
      </c>
      <c r="B90" s="6" t="s">
        <v>297</v>
      </c>
      <c r="C90" s="6" t="s">
        <v>321</v>
      </c>
      <c r="D90" s="12">
        <v>89</v>
      </c>
      <c r="E90" s="12">
        <v>75</v>
      </c>
      <c r="F90" s="12">
        <v>60</v>
      </c>
      <c r="G90" s="12">
        <v>224</v>
      </c>
      <c r="H90" s="34">
        <v>88</v>
      </c>
      <c r="I90" s="39" t="s">
        <v>390</v>
      </c>
    </row>
    <row r="91" spans="1:11" ht="13.5" thickBot="1">
      <c r="A91" s="8">
        <v>191</v>
      </c>
      <c r="B91" s="6" t="s">
        <v>361</v>
      </c>
      <c r="C91" s="6" t="s">
        <v>362</v>
      </c>
      <c r="D91" s="12">
        <v>94</v>
      </c>
      <c r="E91" s="12">
        <v>82</v>
      </c>
      <c r="F91" s="12">
        <v>48</v>
      </c>
      <c r="G91" s="12">
        <v>224</v>
      </c>
      <c r="H91" s="33">
        <v>89</v>
      </c>
      <c r="I91" s="37" t="s">
        <v>390</v>
      </c>
    </row>
    <row r="92" spans="1:11" ht="13.5" thickBot="1">
      <c r="A92" s="8">
        <v>122</v>
      </c>
      <c r="B92" s="6" t="s">
        <v>64</v>
      </c>
      <c r="C92" s="6" t="s">
        <v>334</v>
      </c>
      <c r="D92" s="12">
        <v>73</v>
      </c>
      <c r="E92" s="12">
        <v>76</v>
      </c>
      <c r="F92" s="12">
        <v>74</v>
      </c>
      <c r="G92" s="12">
        <v>223</v>
      </c>
      <c r="H92" s="33">
        <v>90</v>
      </c>
      <c r="I92" s="39" t="s">
        <v>390</v>
      </c>
    </row>
    <row r="93" spans="1:11" ht="13.5" thickBot="1">
      <c r="A93" s="8">
        <v>119</v>
      </c>
      <c r="B93" s="6" t="s">
        <v>331</v>
      </c>
      <c r="C93" s="6" t="s">
        <v>332</v>
      </c>
      <c r="D93" s="12">
        <v>93</v>
      </c>
      <c r="E93" s="12">
        <v>67</v>
      </c>
      <c r="F93" s="12">
        <v>59</v>
      </c>
      <c r="G93" s="12">
        <v>219</v>
      </c>
      <c r="H93" s="34">
        <v>91</v>
      </c>
      <c r="I93" s="37" t="s">
        <v>390</v>
      </c>
    </row>
    <row r="94" spans="1:11" ht="13.5" thickBot="1">
      <c r="A94" s="8">
        <v>75</v>
      </c>
      <c r="B94" s="6" t="s">
        <v>290</v>
      </c>
      <c r="C94" s="6" t="s">
        <v>291</v>
      </c>
      <c r="D94" s="12">
        <v>83</v>
      </c>
      <c r="E94" s="12">
        <v>77</v>
      </c>
      <c r="F94" s="12">
        <v>56</v>
      </c>
      <c r="G94" s="12">
        <v>216</v>
      </c>
      <c r="H94" s="33">
        <v>92</v>
      </c>
      <c r="I94" s="39" t="s">
        <v>390</v>
      </c>
      <c r="K94" s="30"/>
    </row>
    <row r="95" spans="1:11" ht="13.5" thickBot="1">
      <c r="A95" s="8">
        <v>49</v>
      </c>
      <c r="B95" s="6" t="s">
        <v>40</v>
      </c>
      <c r="C95" s="6" t="s">
        <v>275</v>
      </c>
      <c r="D95" s="12">
        <v>87</v>
      </c>
      <c r="E95" s="12">
        <v>76</v>
      </c>
      <c r="F95" s="12">
        <v>50</v>
      </c>
      <c r="G95" s="12">
        <v>213</v>
      </c>
      <c r="H95" s="33">
        <v>93</v>
      </c>
      <c r="I95" s="37" t="s">
        <v>390</v>
      </c>
    </row>
    <row r="96" spans="1:11" ht="13.5" thickBot="1">
      <c r="A96" s="8">
        <v>19</v>
      </c>
      <c r="B96" s="6" t="s">
        <v>154</v>
      </c>
      <c r="C96" s="6" t="s">
        <v>109</v>
      </c>
      <c r="D96" s="12">
        <v>69</v>
      </c>
      <c r="E96" s="12">
        <v>83</v>
      </c>
      <c r="F96" s="12">
        <v>56</v>
      </c>
      <c r="G96" s="12">
        <v>208</v>
      </c>
      <c r="H96" s="34">
        <v>94</v>
      </c>
      <c r="I96" s="39" t="s">
        <v>390</v>
      </c>
    </row>
    <row r="97" spans="1:9" ht="13.5" thickBot="1">
      <c r="A97" s="8">
        <v>99</v>
      </c>
      <c r="B97" s="6" t="s">
        <v>148</v>
      </c>
      <c r="C97" s="6" t="s">
        <v>149</v>
      </c>
      <c r="D97" s="12">
        <v>77</v>
      </c>
      <c r="E97" s="12">
        <v>74</v>
      </c>
      <c r="F97" s="12">
        <v>56</v>
      </c>
      <c r="G97" s="12">
        <v>207</v>
      </c>
      <c r="H97" s="33">
        <v>95</v>
      </c>
      <c r="I97" s="37" t="s">
        <v>390</v>
      </c>
    </row>
    <row r="98" spans="1:9" ht="13.5" thickBot="1">
      <c r="A98" s="8">
        <v>113</v>
      </c>
      <c r="B98" s="6" t="s">
        <v>324</v>
      </c>
      <c r="C98" s="6" t="s">
        <v>325</v>
      </c>
      <c r="D98" s="12">
        <v>88</v>
      </c>
      <c r="E98" s="12">
        <v>65</v>
      </c>
      <c r="F98" s="12">
        <v>42</v>
      </c>
      <c r="G98" s="12">
        <v>195</v>
      </c>
      <c r="H98" s="33">
        <v>96</v>
      </c>
      <c r="I98" s="37" t="s">
        <v>391</v>
      </c>
    </row>
    <row r="99" spans="1:9" ht="13.5" thickBot="1">
      <c r="A99" s="8">
        <v>195</v>
      </c>
      <c r="B99" s="6" t="s">
        <v>366</v>
      </c>
      <c r="C99" s="6" t="s">
        <v>367</v>
      </c>
      <c r="D99" s="12">
        <v>80</v>
      </c>
      <c r="E99" s="12">
        <v>65</v>
      </c>
      <c r="F99" s="12">
        <v>47</v>
      </c>
      <c r="G99" s="12">
        <v>192</v>
      </c>
      <c r="H99" s="34">
        <v>97</v>
      </c>
      <c r="I99" s="39" t="s">
        <v>391</v>
      </c>
    </row>
    <row r="100" spans="1:9" ht="13.5" thickBot="1">
      <c r="A100" s="8">
        <v>43</v>
      </c>
      <c r="B100" s="6" t="s">
        <v>40</v>
      </c>
      <c r="C100" s="6" t="s">
        <v>267</v>
      </c>
      <c r="D100" s="12">
        <v>77</v>
      </c>
      <c r="E100" s="12">
        <v>63</v>
      </c>
      <c r="F100" s="12">
        <v>43</v>
      </c>
      <c r="G100" s="12">
        <v>183</v>
      </c>
      <c r="H100" s="33">
        <v>98</v>
      </c>
      <c r="I100" s="37"/>
    </row>
    <row r="101" spans="1:9" ht="13.5" thickBot="1">
      <c r="A101" s="8">
        <v>200</v>
      </c>
      <c r="B101" s="6" t="s">
        <v>373</v>
      </c>
      <c r="C101" s="6" t="s">
        <v>374</v>
      </c>
      <c r="D101" s="12">
        <v>67</v>
      </c>
      <c r="E101" s="12">
        <v>52</v>
      </c>
      <c r="F101" s="12">
        <v>23</v>
      </c>
      <c r="G101" s="12">
        <v>142</v>
      </c>
      <c r="H101" s="33">
        <v>99</v>
      </c>
      <c r="I101" s="37"/>
    </row>
    <row r="102" spans="1:9" ht="13.5" thickBot="1">
      <c r="G102" s="16">
        <f>SUM(G3:G101)</f>
        <v>25165</v>
      </c>
    </row>
    <row r="103" spans="1:9" ht="13.5" thickBot="1">
      <c r="D103" s="74" t="s">
        <v>383</v>
      </c>
      <c r="E103" s="75"/>
      <c r="F103" s="76"/>
      <c r="G103" s="31">
        <f>G102/99</f>
        <v>254.1919191919192</v>
      </c>
      <c r="H103" s="16" t="s">
        <v>384</v>
      </c>
    </row>
  </sheetData>
  <sortState ref="A3:G101">
    <sortCondition descending="1" ref="G3:G101"/>
    <sortCondition descending="1" ref="F3:F101"/>
    <sortCondition descending="1" ref="E3:E101"/>
    <sortCondition descending="1" ref="D3:D101"/>
  </sortState>
  <mergeCells count="2">
    <mergeCell ref="J18:K18"/>
    <mergeCell ref="D103:F10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K6" sqref="K6"/>
    </sheetView>
  </sheetViews>
  <sheetFormatPr defaultColWidth="9.140625" defaultRowHeight="12.75"/>
  <cols>
    <col min="1" max="1" width="4" style="16" bestFit="1" customWidth="1"/>
    <col min="2" max="2" width="15.7109375" style="17" customWidth="1"/>
    <col min="3" max="3" width="16.28515625" style="17" customWidth="1"/>
    <col min="4" max="8" width="6.85546875" style="16" customWidth="1"/>
    <col min="9" max="9" width="9.140625" style="16"/>
    <col min="10" max="10" width="11.42578125" style="16" bestFit="1" customWidth="1"/>
    <col min="11" max="11" width="9.42578125" style="16" bestFit="1" customWidth="1"/>
    <col min="12" max="16384" width="9.140625" style="16"/>
  </cols>
  <sheetData>
    <row r="1" spans="1:12" ht="13.5" thickBot="1">
      <c r="A1" s="12"/>
      <c r="B1" s="10" t="s">
        <v>377</v>
      </c>
      <c r="C1" s="10"/>
      <c r="D1" s="12"/>
      <c r="E1" s="12"/>
      <c r="F1" s="12"/>
      <c r="G1" s="12"/>
      <c r="H1" s="12"/>
    </row>
    <row r="2" spans="1:12" ht="13.5" thickBot="1">
      <c r="A2" s="13" t="s">
        <v>1</v>
      </c>
      <c r="B2" s="64" t="s">
        <v>30</v>
      </c>
      <c r="C2" s="64" t="s">
        <v>31</v>
      </c>
      <c r="D2" s="49">
        <v>1</v>
      </c>
      <c r="E2" s="49">
        <v>2</v>
      </c>
      <c r="F2" s="49">
        <v>3</v>
      </c>
      <c r="G2" s="49" t="s">
        <v>6</v>
      </c>
      <c r="H2" s="49" t="s">
        <v>7</v>
      </c>
      <c r="I2" s="38" t="s">
        <v>385</v>
      </c>
    </row>
    <row r="3" spans="1:12" ht="13.5" thickBot="1">
      <c r="A3" s="33">
        <v>126</v>
      </c>
      <c r="B3" s="67" t="s">
        <v>237</v>
      </c>
      <c r="C3" s="68" t="s">
        <v>338</v>
      </c>
      <c r="D3" s="55">
        <v>99</v>
      </c>
      <c r="E3" s="55">
        <v>97</v>
      </c>
      <c r="F3" s="55">
        <v>92</v>
      </c>
      <c r="G3" s="55">
        <v>288</v>
      </c>
      <c r="H3" s="56">
        <v>1</v>
      </c>
      <c r="I3" s="63" t="s">
        <v>386</v>
      </c>
    </row>
    <row r="4" spans="1:12" ht="13.5" thickBot="1">
      <c r="A4" s="33">
        <v>37</v>
      </c>
      <c r="B4" s="69" t="s">
        <v>256</v>
      </c>
      <c r="C4" s="26" t="s">
        <v>257</v>
      </c>
      <c r="D4" s="20">
        <v>99</v>
      </c>
      <c r="E4" s="20">
        <v>93</v>
      </c>
      <c r="F4" s="20">
        <v>90</v>
      </c>
      <c r="G4" s="20">
        <v>282</v>
      </c>
      <c r="H4" s="58">
        <v>2</v>
      </c>
      <c r="I4" s="63" t="s">
        <v>386</v>
      </c>
    </row>
    <row r="5" spans="1:12" ht="13.5" thickBot="1">
      <c r="A5" s="33">
        <v>63</v>
      </c>
      <c r="B5" s="70" t="s">
        <v>284</v>
      </c>
      <c r="C5" s="71" t="s">
        <v>285</v>
      </c>
      <c r="D5" s="61">
        <v>97</v>
      </c>
      <c r="E5" s="61">
        <v>85</v>
      </c>
      <c r="F5" s="61">
        <v>91</v>
      </c>
      <c r="G5" s="61">
        <v>273</v>
      </c>
      <c r="H5" s="62">
        <v>3</v>
      </c>
      <c r="I5" s="63" t="s">
        <v>388</v>
      </c>
    </row>
    <row r="6" spans="1:12" ht="13.5" thickBot="1">
      <c r="A6" s="12">
        <v>70</v>
      </c>
      <c r="B6" s="65" t="s">
        <v>314</v>
      </c>
      <c r="C6" s="65" t="s">
        <v>315</v>
      </c>
      <c r="D6" s="51">
        <v>93</v>
      </c>
      <c r="E6" s="51">
        <v>86</v>
      </c>
      <c r="F6" s="51">
        <v>88</v>
      </c>
      <c r="G6" s="51">
        <v>267</v>
      </c>
      <c r="H6" s="66">
        <v>4</v>
      </c>
      <c r="I6" s="43" t="s">
        <v>388</v>
      </c>
    </row>
    <row r="7" spans="1:12" ht="13.5" thickBot="1">
      <c r="A7" s="12">
        <v>104</v>
      </c>
      <c r="B7" s="10" t="s">
        <v>201</v>
      </c>
      <c r="C7" s="10" t="s">
        <v>202</v>
      </c>
      <c r="D7" s="12">
        <v>94</v>
      </c>
      <c r="E7" s="12">
        <v>87</v>
      </c>
      <c r="F7" s="12">
        <v>86</v>
      </c>
      <c r="G7" s="12">
        <v>267</v>
      </c>
      <c r="H7" s="33">
        <v>5</v>
      </c>
      <c r="I7" s="43" t="s">
        <v>388</v>
      </c>
    </row>
    <row r="8" spans="1:12" ht="13.5" thickBot="1">
      <c r="A8" s="12">
        <v>72</v>
      </c>
      <c r="B8" s="10" t="s">
        <v>286</v>
      </c>
      <c r="C8" s="10" t="s">
        <v>287</v>
      </c>
      <c r="D8" s="12">
        <v>91</v>
      </c>
      <c r="E8" s="12">
        <v>87</v>
      </c>
      <c r="F8" s="12">
        <v>88</v>
      </c>
      <c r="G8" s="12">
        <v>266</v>
      </c>
      <c r="H8" s="33">
        <v>6</v>
      </c>
      <c r="I8" s="43" t="s">
        <v>388</v>
      </c>
    </row>
    <row r="9" spans="1:12" ht="13.5" thickBot="1">
      <c r="A9" s="12">
        <v>127</v>
      </c>
      <c r="B9" s="10" t="s">
        <v>177</v>
      </c>
      <c r="C9" s="10" t="s">
        <v>178</v>
      </c>
      <c r="D9" s="12">
        <v>98</v>
      </c>
      <c r="E9" s="12">
        <v>94</v>
      </c>
      <c r="F9" s="12">
        <v>74</v>
      </c>
      <c r="G9" s="12">
        <v>266</v>
      </c>
      <c r="H9" s="34">
        <v>7</v>
      </c>
      <c r="I9" s="43" t="s">
        <v>388</v>
      </c>
    </row>
    <row r="10" spans="1:12" ht="13.5" thickBot="1">
      <c r="A10" s="12">
        <v>46</v>
      </c>
      <c r="B10" s="10" t="s">
        <v>271</v>
      </c>
      <c r="C10" s="10" t="s">
        <v>272</v>
      </c>
      <c r="D10" s="12">
        <v>89</v>
      </c>
      <c r="E10" s="12">
        <v>91</v>
      </c>
      <c r="F10" s="12">
        <v>82</v>
      </c>
      <c r="G10" s="12">
        <v>262</v>
      </c>
      <c r="H10" s="33">
        <v>8</v>
      </c>
      <c r="I10" s="43" t="s">
        <v>388</v>
      </c>
    </row>
    <row r="11" spans="1:12" ht="13.5" thickBot="1">
      <c r="A11" s="12">
        <v>26</v>
      </c>
      <c r="B11" s="10" t="s">
        <v>120</v>
      </c>
      <c r="C11" s="10" t="s">
        <v>121</v>
      </c>
      <c r="D11" s="12">
        <v>87</v>
      </c>
      <c r="E11" s="12">
        <v>90</v>
      </c>
      <c r="F11" s="12">
        <v>84</v>
      </c>
      <c r="G11" s="12">
        <v>261</v>
      </c>
      <c r="H11" s="33">
        <v>9</v>
      </c>
      <c r="I11" s="43" t="s">
        <v>388</v>
      </c>
      <c r="J11" s="32" t="s">
        <v>387</v>
      </c>
      <c r="K11" s="46">
        <f>SUM(G3:G11)/9</f>
        <v>270.22222222222223</v>
      </c>
      <c r="L11" s="16" t="s">
        <v>388</v>
      </c>
    </row>
    <row r="12" spans="1:12" ht="13.5" thickBot="1">
      <c r="A12" s="12">
        <v>64</v>
      </c>
      <c r="B12" s="26" t="s">
        <v>207</v>
      </c>
      <c r="C12" s="26" t="s">
        <v>208</v>
      </c>
      <c r="D12" s="20">
        <v>94</v>
      </c>
      <c r="E12" s="20">
        <v>91</v>
      </c>
      <c r="F12" s="20">
        <v>74</v>
      </c>
      <c r="G12" s="20">
        <v>259</v>
      </c>
      <c r="H12" s="34">
        <v>10</v>
      </c>
      <c r="I12" s="43" t="s">
        <v>384</v>
      </c>
      <c r="J12" s="5" t="s">
        <v>379</v>
      </c>
      <c r="K12" s="32" t="s">
        <v>380</v>
      </c>
    </row>
    <row r="13" spans="1:12" ht="13.5" thickBot="1">
      <c r="A13" s="12">
        <v>84</v>
      </c>
      <c r="B13" s="42" t="s">
        <v>116</v>
      </c>
      <c r="C13" s="42" t="s">
        <v>117</v>
      </c>
      <c r="D13" s="23">
        <v>92</v>
      </c>
      <c r="E13" s="23">
        <v>90</v>
      </c>
      <c r="F13" s="23">
        <v>68</v>
      </c>
      <c r="G13" s="23">
        <v>250</v>
      </c>
      <c r="H13" s="33">
        <v>11</v>
      </c>
      <c r="I13" s="43" t="s">
        <v>384</v>
      </c>
      <c r="J13" s="5"/>
      <c r="K13" s="5" t="s">
        <v>381</v>
      </c>
    </row>
    <row r="14" spans="1:12" ht="13.5" thickBot="1">
      <c r="A14" s="12">
        <v>89</v>
      </c>
      <c r="B14" s="27" t="s">
        <v>306</v>
      </c>
      <c r="C14" s="27" t="s">
        <v>307</v>
      </c>
      <c r="D14" s="25">
        <v>90</v>
      </c>
      <c r="E14" s="25">
        <v>80</v>
      </c>
      <c r="F14" s="25">
        <v>77</v>
      </c>
      <c r="G14" s="25">
        <v>247</v>
      </c>
      <c r="H14" s="33">
        <v>12</v>
      </c>
      <c r="I14" s="43" t="s">
        <v>384</v>
      </c>
      <c r="J14" s="5"/>
      <c r="K14" s="5" t="s">
        <v>382</v>
      </c>
    </row>
    <row r="15" spans="1:12" ht="13.5" thickBot="1">
      <c r="A15" s="12">
        <v>52</v>
      </c>
      <c r="B15" s="10" t="s">
        <v>276</v>
      </c>
      <c r="C15" s="10" t="s">
        <v>277</v>
      </c>
      <c r="D15" s="12">
        <v>95</v>
      </c>
      <c r="E15" s="12">
        <v>65</v>
      </c>
      <c r="F15" s="12">
        <v>80</v>
      </c>
      <c r="G15" s="12">
        <v>240</v>
      </c>
      <c r="H15" s="34">
        <v>13</v>
      </c>
      <c r="I15" s="43" t="s">
        <v>389</v>
      </c>
    </row>
    <row r="16" spans="1:12" ht="13.5" thickBot="1">
      <c r="A16" s="12">
        <v>123</v>
      </c>
      <c r="B16" s="10" t="s">
        <v>316</v>
      </c>
      <c r="C16" s="10" t="s">
        <v>334</v>
      </c>
      <c r="D16" s="12">
        <v>85</v>
      </c>
      <c r="E16" s="12">
        <v>68</v>
      </c>
      <c r="F16" s="12">
        <v>85</v>
      </c>
      <c r="G16" s="12">
        <v>238</v>
      </c>
      <c r="H16" s="33">
        <v>14</v>
      </c>
      <c r="I16" s="43" t="s">
        <v>389</v>
      </c>
    </row>
    <row r="17" spans="1:9" ht="13.5" thickBot="1">
      <c r="A17" s="12">
        <v>45</v>
      </c>
      <c r="B17" s="10" t="s">
        <v>269</v>
      </c>
      <c r="C17" s="10" t="s">
        <v>270</v>
      </c>
      <c r="D17" s="12">
        <v>93</v>
      </c>
      <c r="E17" s="12">
        <v>74</v>
      </c>
      <c r="F17" s="12">
        <v>68</v>
      </c>
      <c r="G17" s="12">
        <v>235</v>
      </c>
      <c r="H17" s="33">
        <v>15</v>
      </c>
      <c r="I17" s="43" t="s">
        <v>389</v>
      </c>
    </row>
    <row r="18" spans="1:9" ht="13.5" thickBot="1">
      <c r="A18" s="12">
        <v>105</v>
      </c>
      <c r="B18" s="10" t="s">
        <v>316</v>
      </c>
      <c r="C18" s="10" t="s">
        <v>317</v>
      </c>
      <c r="D18" s="12">
        <v>81</v>
      </c>
      <c r="E18" s="12">
        <v>65</v>
      </c>
      <c r="F18" s="12">
        <v>85</v>
      </c>
      <c r="G18" s="12">
        <v>231</v>
      </c>
      <c r="H18" s="34">
        <v>16</v>
      </c>
      <c r="I18" s="43" t="s">
        <v>389</v>
      </c>
    </row>
    <row r="19" spans="1:9" ht="13.5" thickBot="1">
      <c r="A19" s="12">
        <v>39</v>
      </c>
      <c r="B19" s="10" t="s">
        <v>260</v>
      </c>
      <c r="C19" s="10" t="s">
        <v>261</v>
      </c>
      <c r="D19" s="12">
        <v>83</v>
      </c>
      <c r="E19" s="12">
        <v>70</v>
      </c>
      <c r="F19" s="12">
        <v>73</v>
      </c>
      <c r="G19" s="12">
        <v>226</v>
      </c>
      <c r="H19" s="33">
        <v>17</v>
      </c>
      <c r="I19" s="43" t="s">
        <v>389</v>
      </c>
    </row>
    <row r="20" spans="1:9" ht="13.5" thickBot="1">
      <c r="A20" s="12">
        <v>38</v>
      </c>
      <c r="B20" s="10" t="s">
        <v>258</v>
      </c>
      <c r="C20" s="10" t="s">
        <v>259</v>
      </c>
      <c r="D20" s="12">
        <v>89</v>
      </c>
      <c r="E20" s="12">
        <v>80</v>
      </c>
      <c r="F20" s="12">
        <v>56</v>
      </c>
      <c r="G20" s="12">
        <v>225</v>
      </c>
      <c r="H20" s="33">
        <v>18</v>
      </c>
      <c r="I20" s="43" t="s">
        <v>389</v>
      </c>
    </row>
    <row r="21" spans="1:9" ht="13.5" thickBot="1">
      <c r="A21" s="12">
        <v>76</v>
      </c>
      <c r="B21" s="10" t="s">
        <v>292</v>
      </c>
      <c r="C21" s="10" t="s">
        <v>293</v>
      </c>
      <c r="D21" s="12">
        <v>88</v>
      </c>
      <c r="E21" s="12">
        <v>73</v>
      </c>
      <c r="F21" s="12">
        <v>57</v>
      </c>
      <c r="G21" s="12">
        <v>218</v>
      </c>
      <c r="H21" s="34">
        <v>19</v>
      </c>
      <c r="I21" s="43" t="s">
        <v>390</v>
      </c>
    </row>
    <row r="22" spans="1:9" ht="13.5" thickBot="1">
      <c r="A22" s="12">
        <v>128</v>
      </c>
      <c r="B22" s="10" t="s">
        <v>215</v>
      </c>
      <c r="C22" s="10" t="s">
        <v>216</v>
      </c>
      <c r="D22" s="12">
        <v>92</v>
      </c>
      <c r="E22" s="12">
        <v>81</v>
      </c>
      <c r="F22" s="12">
        <v>44</v>
      </c>
      <c r="G22" s="12">
        <v>217</v>
      </c>
      <c r="H22" s="33">
        <v>20</v>
      </c>
      <c r="I22" s="43" t="s">
        <v>390</v>
      </c>
    </row>
    <row r="23" spans="1:9" ht="13.5" thickBot="1">
      <c r="A23" s="12">
        <v>150</v>
      </c>
      <c r="B23" s="10" t="s">
        <v>350</v>
      </c>
      <c r="C23" s="10" t="s">
        <v>351</v>
      </c>
      <c r="D23" s="12">
        <v>87</v>
      </c>
      <c r="E23" s="12">
        <v>83</v>
      </c>
      <c r="F23" s="12">
        <v>45</v>
      </c>
      <c r="G23" s="12">
        <v>215</v>
      </c>
      <c r="H23" s="33">
        <v>21</v>
      </c>
      <c r="I23" s="43" t="s">
        <v>390</v>
      </c>
    </row>
    <row r="24" spans="1:9" ht="13.5" thickBot="1">
      <c r="A24" s="12">
        <v>31</v>
      </c>
      <c r="B24" s="10" t="s">
        <v>250</v>
      </c>
      <c r="C24" s="10" t="s">
        <v>251</v>
      </c>
      <c r="D24" s="12">
        <v>78</v>
      </c>
      <c r="E24" s="12">
        <v>84</v>
      </c>
      <c r="F24" s="12">
        <v>51</v>
      </c>
      <c r="G24" s="12">
        <v>213</v>
      </c>
      <c r="H24" s="34">
        <v>22</v>
      </c>
      <c r="I24" s="43" t="s">
        <v>390</v>
      </c>
    </row>
    <row r="25" spans="1:9" ht="13.5" thickBot="1">
      <c r="A25" s="12">
        <v>40</v>
      </c>
      <c r="B25" s="10" t="s">
        <v>311</v>
      </c>
      <c r="C25" s="10" t="s">
        <v>312</v>
      </c>
      <c r="D25" s="12">
        <v>78</v>
      </c>
      <c r="E25" s="12">
        <v>68</v>
      </c>
      <c r="F25" s="12">
        <v>65</v>
      </c>
      <c r="G25" s="12">
        <v>211</v>
      </c>
      <c r="H25" s="33">
        <v>23</v>
      </c>
      <c r="I25" s="43" t="s">
        <v>390</v>
      </c>
    </row>
    <row r="26" spans="1:9" ht="13.5" thickBot="1">
      <c r="A26" s="12">
        <v>96</v>
      </c>
      <c r="B26" s="10" t="s">
        <v>262</v>
      </c>
      <c r="C26" s="10" t="s">
        <v>263</v>
      </c>
      <c r="D26" s="12">
        <v>87</v>
      </c>
      <c r="E26" s="12">
        <v>61</v>
      </c>
      <c r="F26" s="12">
        <v>63</v>
      </c>
      <c r="G26" s="12">
        <v>211</v>
      </c>
      <c r="H26" s="33">
        <v>24</v>
      </c>
      <c r="I26" s="43" t="s">
        <v>390</v>
      </c>
    </row>
    <row r="27" spans="1:9" ht="13.5" thickBot="1">
      <c r="A27" s="12">
        <v>48</v>
      </c>
      <c r="B27" s="10" t="s">
        <v>273</v>
      </c>
      <c r="C27" s="10" t="s">
        <v>274</v>
      </c>
      <c r="D27" s="12">
        <v>92</v>
      </c>
      <c r="E27" s="12">
        <v>74</v>
      </c>
      <c r="F27" s="12">
        <v>40</v>
      </c>
      <c r="G27" s="12">
        <v>206</v>
      </c>
      <c r="H27" s="34">
        <v>25</v>
      </c>
      <c r="I27" s="43" t="s">
        <v>390</v>
      </c>
    </row>
    <row r="28" spans="1:9" ht="13.5" thickBot="1">
      <c r="A28" s="12">
        <v>95</v>
      </c>
      <c r="B28" s="10" t="s">
        <v>235</v>
      </c>
      <c r="C28" s="10" t="s">
        <v>236</v>
      </c>
      <c r="D28" s="12">
        <v>93</v>
      </c>
      <c r="E28" s="12">
        <v>63</v>
      </c>
      <c r="F28" s="12">
        <v>45</v>
      </c>
      <c r="G28" s="12">
        <v>201</v>
      </c>
      <c r="H28" s="33">
        <v>26</v>
      </c>
      <c r="I28" s="43" t="s">
        <v>391</v>
      </c>
    </row>
    <row r="29" spans="1:9" ht="13.5" thickBot="1">
      <c r="A29" s="12">
        <v>114</v>
      </c>
      <c r="B29" s="10" t="s">
        <v>225</v>
      </c>
      <c r="C29" s="10" t="s">
        <v>226</v>
      </c>
      <c r="D29" s="12">
        <v>57</v>
      </c>
      <c r="E29" s="12">
        <v>77</v>
      </c>
      <c r="F29" s="12">
        <v>57</v>
      </c>
      <c r="G29" s="12">
        <v>191</v>
      </c>
      <c r="H29" s="33">
        <v>27</v>
      </c>
      <c r="I29" s="43" t="s">
        <v>391</v>
      </c>
    </row>
    <row r="30" spans="1:9" ht="13.5" thickBot="1">
      <c r="A30" s="12">
        <v>53</v>
      </c>
      <c r="B30" s="10" t="s">
        <v>278</v>
      </c>
      <c r="C30" s="10" t="s">
        <v>279</v>
      </c>
      <c r="D30" s="12">
        <v>86</v>
      </c>
      <c r="E30" s="12">
        <v>79</v>
      </c>
      <c r="F30" s="12">
        <v>25</v>
      </c>
      <c r="G30" s="12">
        <v>190</v>
      </c>
      <c r="H30" s="34">
        <v>28</v>
      </c>
      <c r="I30" s="43" t="s">
        <v>391</v>
      </c>
    </row>
    <row r="31" spans="1:9" ht="13.5" thickBot="1">
      <c r="A31" s="12">
        <v>115</v>
      </c>
      <c r="B31" s="10" t="s">
        <v>326</v>
      </c>
      <c r="C31" s="10" t="s">
        <v>327</v>
      </c>
      <c r="D31" s="12">
        <v>75</v>
      </c>
      <c r="E31" s="12">
        <v>55</v>
      </c>
      <c r="F31" s="12">
        <v>34</v>
      </c>
      <c r="G31" s="12">
        <v>164</v>
      </c>
      <c r="H31" s="33">
        <v>29</v>
      </c>
      <c r="I31" s="43"/>
    </row>
    <row r="32" spans="1:9" ht="13.5" thickBot="1">
      <c r="A32" s="12">
        <v>82</v>
      </c>
      <c r="B32" s="10" t="s">
        <v>239</v>
      </c>
      <c r="C32" s="10" t="s">
        <v>240</v>
      </c>
      <c r="D32" s="12">
        <v>64</v>
      </c>
      <c r="E32" s="12">
        <v>47</v>
      </c>
      <c r="F32" s="12">
        <v>28</v>
      </c>
      <c r="G32" s="12">
        <v>139</v>
      </c>
      <c r="H32" s="33">
        <v>30</v>
      </c>
      <c r="I32" s="43"/>
    </row>
    <row r="33" spans="1:9" ht="13.5" thickBot="1">
      <c r="A33" s="12">
        <v>61</v>
      </c>
      <c r="B33" s="10" t="s">
        <v>229</v>
      </c>
      <c r="C33" s="10" t="s">
        <v>230</v>
      </c>
      <c r="D33" s="12">
        <v>32</v>
      </c>
      <c r="E33" s="12">
        <v>42</v>
      </c>
      <c r="F33" s="12">
        <v>52</v>
      </c>
      <c r="G33" s="12">
        <v>126</v>
      </c>
      <c r="H33" s="44">
        <v>31</v>
      </c>
      <c r="I33" s="43"/>
    </row>
    <row r="34" spans="1:9" ht="13.5" thickBot="1">
      <c r="D34" s="74" t="s">
        <v>383</v>
      </c>
      <c r="E34" s="75"/>
      <c r="F34" s="76"/>
      <c r="G34" s="31">
        <f>SUM(G3:G33)/31</f>
        <v>228.54838709677421</v>
      </c>
      <c r="H34" s="29" t="s">
        <v>389</v>
      </c>
    </row>
  </sheetData>
  <sortState ref="B3:G33">
    <sortCondition descending="1" ref="G3:G33"/>
    <sortCondition descending="1" ref="F3:F33"/>
    <sortCondition descending="1" ref="E3:E33"/>
    <sortCondition descending="1" ref="D3:D33"/>
  </sortState>
  <mergeCells count="1">
    <mergeCell ref="D34:F3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abSelected="1" workbookViewId="0">
      <selection activeCell="K10" sqref="K10"/>
    </sheetView>
  </sheetViews>
  <sheetFormatPr defaultColWidth="9.140625" defaultRowHeight="12.75"/>
  <cols>
    <col min="1" max="1" width="19.7109375" style="5" customWidth="1"/>
    <col min="2" max="2" width="19.28515625" style="5" customWidth="1"/>
    <col min="3" max="7" width="7.140625" style="16" customWidth="1"/>
    <col min="8" max="16384" width="9.140625" style="5"/>
  </cols>
  <sheetData>
    <row r="1" spans="1:7" ht="15.75" thickBot="1">
      <c r="A1" s="97" t="s">
        <v>378</v>
      </c>
      <c r="B1" s="90"/>
      <c r="C1" s="86"/>
      <c r="D1" s="86"/>
      <c r="E1" s="86"/>
      <c r="F1" s="86"/>
      <c r="G1" s="86"/>
    </row>
    <row r="2" spans="1:7" ht="30.75" thickBot="1">
      <c r="A2" s="91" t="s">
        <v>30</v>
      </c>
      <c r="B2" s="91" t="s">
        <v>31</v>
      </c>
      <c r="C2" s="88">
        <v>1</v>
      </c>
      <c r="D2" s="88">
        <v>2</v>
      </c>
      <c r="E2" s="88">
        <v>3</v>
      </c>
      <c r="F2" s="88" t="s">
        <v>6</v>
      </c>
      <c r="G2" s="88" t="s">
        <v>7</v>
      </c>
    </row>
    <row r="3" spans="1:7" ht="15.75" thickBot="1">
      <c r="A3" s="90" t="s">
        <v>48</v>
      </c>
      <c r="B3" s="90" t="s">
        <v>227</v>
      </c>
      <c r="C3" s="86">
        <v>86</v>
      </c>
      <c r="D3" s="86">
        <v>89</v>
      </c>
      <c r="E3" s="86">
        <v>89</v>
      </c>
      <c r="F3" s="86">
        <v>264</v>
      </c>
      <c r="G3" s="89">
        <v>1</v>
      </c>
    </row>
    <row r="4" spans="1:7" ht="15.75" thickBot="1">
      <c r="A4" s="90" t="s">
        <v>247</v>
      </c>
      <c r="B4" s="90" t="s">
        <v>248</v>
      </c>
      <c r="C4" s="86">
        <v>83</v>
      </c>
      <c r="D4" s="86">
        <v>80</v>
      </c>
      <c r="E4" s="86">
        <v>90</v>
      </c>
      <c r="F4" s="86">
        <v>253</v>
      </c>
      <c r="G4" s="86">
        <v>2</v>
      </c>
    </row>
    <row r="5" spans="1:7" ht="15.75" thickBot="1">
      <c r="A5" s="90" t="s">
        <v>60</v>
      </c>
      <c r="B5" s="90" t="s">
        <v>61</v>
      </c>
      <c r="C5" s="86">
        <v>83</v>
      </c>
      <c r="D5" s="86">
        <v>85</v>
      </c>
      <c r="E5" s="86">
        <v>85</v>
      </c>
      <c r="F5" s="86">
        <v>253</v>
      </c>
      <c r="G5" s="86">
        <v>3</v>
      </c>
    </row>
    <row r="6" spans="1:7" ht="15.75" thickBot="1">
      <c r="A6" s="90" t="s">
        <v>70</v>
      </c>
      <c r="B6" s="90" t="s">
        <v>71</v>
      </c>
      <c r="C6" s="86">
        <v>83</v>
      </c>
      <c r="D6" s="86">
        <v>86</v>
      </c>
      <c r="E6" s="86">
        <v>82</v>
      </c>
      <c r="F6" s="86">
        <v>251</v>
      </c>
      <c r="G6" s="89">
        <v>4</v>
      </c>
    </row>
    <row r="7" spans="1:7" ht="15.75" thickBot="1">
      <c r="A7" s="90" t="s">
        <v>89</v>
      </c>
      <c r="B7" s="90" t="s">
        <v>90</v>
      </c>
      <c r="C7" s="86">
        <v>85</v>
      </c>
      <c r="D7" s="86">
        <v>83</v>
      </c>
      <c r="E7" s="86">
        <v>80</v>
      </c>
      <c r="F7" s="86">
        <v>248</v>
      </c>
      <c r="G7" s="86">
        <v>5</v>
      </c>
    </row>
    <row r="8" spans="1:7" ht="15.75" thickBot="1">
      <c r="A8" s="90" t="s">
        <v>72</v>
      </c>
      <c r="B8" s="90" t="s">
        <v>73</v>
      </c>
      <c r="C8" s="86">
        <v>88</v>
      </c>
      <c r="D8" s="86">
        <v>81</v>
      </c>
      <c r="E8" s="86">
        <v>78</v>
      </c>
      <c r="F8" s="86">
        <v>247</v>
      </c>
      <c r="G8" s="86">
        <v>6</v>
      </c>
    </row>
    <row r="9" spans="1:7" ht="15.75" thickBot="1">
      <c r="A9" s="90" t="s">
        <v>165</v>
      </c>
      <c r="B9" s="90" t="s">
        <v>183</v>
      </c>
      <c r="C9" s="86">
        <v>81</v>
      </c>
      <c r="D9" s="86">
        <v>74</v>
      </c>
      <c r="E9" s="86">
        <v>87</v>
      </c>
      <c r="F9" s="86">
        <v>242</v>
      </c>
      <c r="G9" s="89">
        <v>7</v>
      </c>
    </row>
    <row r="10" spans="1:7" ht="15.75" thickBot="1">
      <c r="A10" s="90" t="s">
        <v>60</v>
      </c>
      <c r="B10" s="90" t="s">
        <v>344</v>
      </c>
      <c r="C10" s="86">
        <v>82</v>
      </c>
      <c r="D10" s="86">
        <v>76</v>
      </c>
      <c r="E10" s="86">
        <v>83</v>
      </c>
      <c r="F10" s="86">
        <v>241</v>
      </c>
      <c r="G10" s="86">
        <v>8</v>
      </c>
    </row>
    <row r="11" spans="1:7" ht="15.75" thickBot="1">
      <c r="A11" s="90" t="s">
        <v>245</v>
      </c>
      <c r="B11" s="90" t="s">
        <v>246</v>
      </c>
      <c r="C11" s="86">
        <v>85</v>
      </c>
      <c r="D11" s="86">
        <v>79</v>
      </c>
      <c r="E11" s="86">
        <v>76</v>
      </c>
      <c r="F11" s="86">
        <v>240</v>
      </c>
      <c r="G11" s="86">
        <v>9</v>
      </c>
    </row>
    <row r="12" spans="1:7" ht="15.75" thickBot="1">
      <c r="A12" s="90" t="s">
        <v>106</v>
      </c>
      <c r="B12" s="90" t="s">
        <v>107</v>
      </c>
      <c r="C12" s="86">
        <v>74</v>
      </c>
      <c r="D12" s="86">
        <v>80</v>
      </c>
      <c r="E12" s="86">
        <v>85</v>
      </c>
      <c r="F12" s="86">
        <v>239</v>
      </c>
      <c r="G12" s="89">
        <v>10</v>
      </c>
    </row>
    <row r="13" spans="1:7" ht="15.75" thickBot="1">
      <c r="A13" s="90" t="s">
        <v>34</v>
      </c>
      <c r="B13" s="90" t="s">
        <v>103</v>
      </c>
      <c r="C13" s="86">
        <v>76</v>
      </c>
      <c r="D13" s="86">
        <v>80</v>
      </c>
      <c r="E13" s="86">
        <v>82</v>
      </c>
      <c r="F13" s="86">
        <v>238</v>
      </c>
      <c r="G13" s="86">
        <v>11</v>
      </c>
    </row>
    <row r="14" spans="1:7" ht="15.75" thickBot="1">
      <c r="A14" s="90" t="s">
        <v>108</v>
      </c>
      <c r="B14" s="90" t="s">
        <v>109</v>
      </c>
      <c r="C14" s="86">
        <v>84</v>
      </c>
      <c r="D14" s="86">
        <v>82</v>
      </c>
      <c r="E14" s="86">
        <v>71</v>
      </c>
      <c r="F14" s="86">
        <v>237</v>
      </c>
      <c r="G14" s="86">
        <v>12</v>
      </c>
    </row>
    <row r="15" spans="1:7" ht="15.75" thickBot="1">
      <c r="A15" s="90" t="s">
        <v>78</v>
      </c>
      <c r="B15" s="90" t="s">
        <v>79</v>
      </c>
      <c r="C15" s="86">
        <v>76</v>
      </c>
      <c r="D15" s="86">
        <v>82</v>
      </c>
      <c r="E15" s="86">
        <v>78</v>
      </c>
      <c r="F15" s="86">
        <v>236</v>
      </c>
      <c r="G15" s="89">
        <v>13</v>
      </c>
    </row>
    <row r="16" spans="1:7" ht="15.75" thickBot="1">
      <c r="A16" s="90" t="s">
        <v>181</v>
      </c>
      <c r="B16" s="90" t="s">
        <v>182</v>
      </c>
      <c r="C16" s="86">
        <v>79</v>
      </c>
      <c r="D16" s="86">
        <v>71</v>
      </c>
      <c r="E16" s="86">
        <v>85</v>
      </c>
      <c r="F16" s="86">
        <v>235</v>
      </c>
      <c r="G16" s="86">
        <v>14</v>
      </c>
    </row>
    <row r="17" spans="1:7" ht="15.75" thickBot="1">
      <c r="A17" s="90" t="s">
        <v>95</v>
      </c>
      <c r="B17" s="90" t="s">
        <v>96</v>
      </c>
      <c r="C17" s="86">
        <v>75</v>
      </c>
      <c r="D17" s="86">
        <v>76</v>
      </c>
      <c r="E17" s="86">
        <v>83</v>
      </c>
      <c r="F17" s="86">
        <v>234</v>
      </c>
      <c r="G17" s="86">
        <v>15</v>
      </c>
    </row>
    <row r="18" spans="1:7" ht="15.75" thickBot="1">
      <c r="A18" s="90" t="s">
        <v>74</v>
      </c>
      <c r="B18" s="90" t="s">
        <v>75</v>
      </c>
      <c r="C18" s="86">
        <v>83</v>
      </c>
      <c r="D18" s="86">
        <v>70</v>
      </c>
      <c r="E18" s="86">
        <v>81</v>
      </c>
      <c r="F18" s="86">
        <v>234</v>
      </c>
      <c r="G18" s="89">
        <v>16</v>
      </c>
    </row>
    <row r="19" spans="1:7" ht="15.75" thickBot="1">
      <c r="A19" s="90" t="s">
        <v>318</v>
      </c>
      <c r="B19" s="90" t="s">
        <v>319</v>
      </c>
      <c r="C19" s="86">
        <v>75</v>
      </c>
      <c r="D19" s="86">
        <v>80</v>
      </c>
      <c r="E19" s="86">
        <v>79</v>
      </c>
      <c r="F19" s="86">
        <v>234</v>
      </c>
      <c r="G19" s="86">
        <v>17</v>
      </c>
    </row>
    <row r="20" spans="1:7" ht="15.75" thickBot="1">
      <c r="A20" s="90" t="s">
        <v>86</v>
      </c>
      <c r="B20" s="90" t="s">
        <v>87</v>
      </c>
      <c r="C20" s="86">
        <v>81</v>
      </c>
      <c r="D20" s="86">
        <v>74</v>
      </c>
      <c r="E20" s="86">
        <v>79</v>
      </c>
      <c r="F20" s="86">
        <v>234</v>
      </c>
      <c r="G20" s="86">
        <v>18</v>
      </c>
    </row>
    <row r="21" spans="1:7" ht="15.75" thickBot="1">
      <c r="A21" s="90" t="s">
        <v>256</v>
      </c>
      <c r="B21" s="90" t="s">
        <v>257</v>
      </c>
      <c r="C21" s="86">
        <v>81</v>
      </c>
      <c r="D21" s="86">
        <v>67</v>
      </c>
      <c r="E21" s="86">
        <v>85</v>
      </c>
      <c r="F21" s="86">
        <v>233</v>
      </c>
      <c r="G21" s="89">
        <v>19</v>
      </c>
    </row>
    <row r="22" spans="1:7" ht="15.75" thickBot="1">
      <c r="A22" s="90" t="s">
        <v>331</v>
      </c>
      <c r="B22" s="90" t="s">
        <v>332</v>
      </c>
      <c r="C22" s="86">
        <v>70</v>
      </c>
      <c r="D22" s="86">
        <v>80</v>
      </c>
      <c r="E22" s="86">
        <v>82</v>
      </c>
      <c r="F22" s="86">
        <v>232</v>
      </c>
      <c r="G22" s="86">
        <v>20</v>
      </c>
    </row>
    <row r="23" spans="1:7" ht="15.75" thickBot="1">
      <c r="A23" s="90" t="s">
        <v>146</v>
      </c>
      <c r="B23" s="90" t="s">
        <v>147</v>
      </c>
      <c r="C23" s="86">
        <v>84</v>
      </c>
      <c r="D23" s="86">
        <v>68</v>
      </c>
      <c r="E23" s="86">
        <v>80</v>
      </c>
      <c r="F23" s="86">
        <v>232</v>
      </c>
      <c r="G23" s="86">
        <v>21</v>
      </c>
    </row>
    <row r="24" spans="1:7" ht="15.75" thickBot="1">
      <c r="A24" s="90" t="s">
        <v>52</v>
      </c>
      <c r="B24" s="90" t="s">
        <v>53</v>
      </c>
      <c r="C24" s="86">
        <v>80</v>
      </c>
      <c r="D24" s="86">
        <v>74</v>
      </c>
      <c r="E24" s="86">
        <v>78</v>
      </c>
      <c r="F24" s="86">
        <v>232</v>
      </c>
      <c r="G24" s="89">
        <v>22</v>
      </c>
    </row>
    <row r="25" spans="1:7" ht="15.75" thickBot="1">
      <c r="A25" s="90" t="s">
        <v>282</v>
      </c>
      <c r="B25" s="90" t="s">
        <v>283</v>
      </c>
      <c r="C25" s="86">
        <v>74</v>
      </c>
      <c r="D25" s="86">
        <v>83</v>
      </c>
      <c r="E25" s="86">
        <v>75</v>
      </c>
      <c r="F25" s="86">
        <v>232</v>
      </c>
      <c r="G25" s="86">
        <v>23</v>
      </c>
    </row>
    <row r="26" spans="1:7" ht="15.75" thickBot="1">
      <c r="A26" s="90" t="s">
        <v>304</v>
      </c>
      <c r="B26" s="90" t="s">
        <v>305</v>
      </c>
      <c r="C26" s="86">
        <v>75</v>
      </c>
      <c r="D26" s="86">
        <v>81</v>
      </c>
      <c r="E26" s="86">
        <v>75</v>
      </c>
      <c r="F26" s="86">
        <v>231</v>
      </c>
      <c r="G26" s="86">
        <v>24</v>
      </c>
    </row>
    <row r="27" spans="1:7" ht="15.75" thickBot="1">
      <c r="A27" s="90" t="s">
        <v>197</v>
      </c>
      <c r="B27" s="90" t="s">
        <v>198</v>
      </c>
      <c r="C27" s="86">
        <v>77</v>
      </c>
      <c r="D27" s="86">
        <v>73</v>
      </c>
      <c r="E27" s="86">
        <v>80</v>
      </c>
      <c r="F27" s="86">
        <v>230</v>
      </c>
      <c r="G27" s="89">
        <v>25</v>
      </c>
    </row>
    <row r="28" spans="1:7" ht="15.75" thickBot="1">
      <c r="A28" s="90" t="s">
        <v>233</v>
      </c>
      <c r="B28" s="90" t="s">
        <v>358</v>
      </c>
      <c r="C28" s="86">
        <v>80</v>
      </c>
      <c r="D28" s="86">
        <v>73</v>
      </c>
      <c r="E28" s="86">
        <v>77</v>
      </c>
      <c r="F28" s="86">
        <v>230</v>
      </c>
      <c r="G28" s="86">
        <v>26</v>
      </c>
    </row>
    <row r="29" spans="1:7" ht="15.75" thickBot="1">
      <c r="A29" s="90" t="s">
        <v>34</v>
      </c>
      <c r="B29" s="90" t="s">
        <v>150</v>
      </c>
      <c r="C29" s="86">
        <v>72</v>
      </c>
      <c r="D29" s="86">
        <v>74</v>
      </c>
      <c r="E29" s="86">
        <v>83</v>
      </c>
      <c r="F29" s="86">
        <v>229</v>
      </c>
      <c r="G29" s="86">
        <v>27</v>
      </c>
    </row>
    <row r="30" spans="1:7" ht="15.75" thickBot="1">
      <c r="A30" s="90" t="s">
        <v>60</v>
      </c>
      <c r="B30" s="90" t="s">
        <v>360</v>
      </c>
      <c r="C30" s="86">
        <v>74</v>
      </c>
      <c r="D30" s="86">
        <v>80</v>
      </c>
      <c r="E30" s="86">
        <v>74</v>
      </c>
      <c r="F30" s="86">
        <v>228</v>
      </c>
      <c r="G30" s="89">
        <v>28</v>
      </c>
    </row>
    <row r="31" spans="1:7" ht="15.75" thickBot="1">
      <c r="A31" s="90" t="s">
        <v>42</v>
      </c>
      <c r="B31" s="90" t="s">
        <v>43</v>
      </c>
      <c r="C31" s="86">
        <v>71</v>
      </c>
      <c r="D31" s="86">
        <v>74</v>
      </c>
      <c r="E31" s="86">
        <v>81</v>
      </c>
      <c r="F31" s="86">
        <v>226</v>
      </c>
      <c r="G31" s="86">
        <v>29</v>
      </c>
    </row>
    <row r="32" spans="1:7" ht="15.75" thickBot="1">
      <c r="A32" s="90" t="s">
        <v>264</v>
      </c>
      <c r="B32" s="90" t="s">
        <v>265</v>
      </c>
      <c r="C32" s="86">
        <v>73</v>
      </c>
      <c r="D32" s="86">
        <v>74</v>
      </c>
      <c r="E32" s="86">
        <v>79</v>
      </c>
      <c r="F32" s="86">
        <v>226</v>
      </c>
      <c r="G32" s="86">
        <v>30</v>
      </c>
    </row>
    <row r="33" spans="1:7" ht="15.75" thickBot="1">
      <c r="A33" s="90" t="s">
        <v>60</v>
      </c>
      <c r="B33" s="90" t="s">
        <v>353</v>
      </c>
      <c r="C33" s="86">
        <v>72</v>
      </c>
      <c r="D33" s="86">
        <v>76</v>
      </c>
      <c r="E33" s="86">
        <v>77</v>
      </c>
      <c r="F33" s="86">
        <v>225</v>
      </c>
      <c r="G33" s="89">
        <v>31</v>
      </c>
    </row>
    <row r="34" spans="1:7" ht="15.75" thickBot="1">
      <c r="A34" s="90" t="s">
        <v>237</v>
      </c>
      <c r="B34" s="90" t="s">
        <v>338</v>
      </c>
      <c r="C34" s="86">
        <v>68</v>
      </c>
      <c r="D34" s="86">
        <v>78</v>
      </c>
      <c r="E34" s="86">
        <v>77</v>
      </c>
      <c r="F34" s="86">
        <v>223</v>
      </c>
      <c r="G34" s="86">
        <v>32</v>
      </c>
    </row>
    <row r="35" spans="1:7" ht="15.75" thickBot="1">
      <c r="A35" s="90" t="s">
        <v>38</v>
      </c>
      <c r="B35" s="90" t="s">
        <v>39</v>
      </c>
      <c r="C35" s="86">
        <v>69</v>
      </c>
      <c r="D35" s="86">
        <v>77</v>
      </c>
      <c r="E35" s="86">
        <v>77</v>
      </c>
      <c r="F35" s="86">
        <v>223</v>
      </c>
      <c r="G35" s="86">
        <v>33</v>
      </c>
    </row>
    <row r="36" spans="1:7" ht="15.75" thickBot="1">
      <c r="A36" s="90" t="s">
        <v>58</v>
      </c>
      <c r="B36" s="90" t="s">
        <v>59</v>
      </c>
      <c r="C36" s="86">
        <v>71</v>
      </c>
      <c r="D36" s="86">
        <v>75</v>
      </c>
      <c r="E36" s="86">
        <v>76</v>
      </c>
      <c r="F36" s="86">
        <v>222</v>
      </c>
      <c r="G36" s="89">
        <v>34</v>
      </c>
    </row>
    <row r="37" spans="1:7" ht="15.75" thickBot="1">
      <c r="A37" s="90" t="s">
        <v>65</v>
      </c>
      <c r="B37" s="90" t="s">
        <v>66</v>
      </c>
      <c r="C37" s="86">
        <v>69</v>
      </c>
      <c r="D37" s="86">
        <v>78</v>
      </c>
      <c r="E37" s="86">
        <v>74</v>
      </c>
      <c r="F37" s="86">
        <v>221</v>
      </c>
      <c r="G37" s="86">
        <v>35</v>
      </c>
    </row>
    <row r="38" spans="1:7" ht="15.75" thickBot="1">
      <c r="A38" s="90" t="s">
        <v>375</v>
      </c>
      <c r="B38" s="90" t="s">
        <v>376</v>
      </c>
      <c r="C38" s="86">
        <v>79</v>
      </c>
      <c r="D38" s="86">
        <v>73</v>
      </c>
      <c r="E38" s="86">
        <v>69</v>
      </c>
      <c r="F38" s="86">
        <v>221</v>
      </c>
      <c r="G38" s="86">
        <v>36</v>
      </c>
    </row>
    <row r="39" spans="1:7" ht="15.75" thickBot="1">
      <c r="A39" s="90" t="s">
        <v>99</v>
      </c>
      <c r="B39" s="90" t="s">
        <v>100</v>
      </c>
      <c r="C39" s="86">
        <v>76</v>
      </c>
      <c r="D39" s="86">
        <v>72</v>
      </c>
      <c r="E39" s="86">
        <v>71</v>
      </c>
      <c r="F39" s="86">
        <v>219</v>
      </c>
      <c r="G39" s="89">
        <v>37</v>
      </c>
    </row>
    <row r="40" spans="1:7" ht="15.75" thickBot="1">
      <c r="A40" s="90" t="s">
        <v>269</v>
      </c>
      <c r="B40" s="90" t="s">
        <v>270</v>
      </c>
      <c r="C40" s="86">
        <v>77</v>
      </c>
      <c r="D40" s="86">
        <v>75</v>
      </c>
      <c r="E40" s="86">
        <v>66</v>
      </c>
      <c r="F40" s="86">
        <v>218</v>
      </c>
      <c r="G40" s="86">
        <v>38</v>
      </c>
    </row>
    <row r="41" spans="1:7" ht="15.75" thickBot="1">
      <c r="A41" s="90" t="s">
        <v>347</v>
      </c>
      <c r="B41" s="90" t="s">
        <v>348</v>
      </c>
      <c r="C41" s="86">
        <v>75</v>
      </c>
      <c r="D41" s="86">
        <v>78</v>
      </c>
      <c r="E41" s="86">
        <v>65</v>
      </c>
      <c r="F41" s="86">
        <v>218</v>
      </c>
      <c r="G41" s="86">
        <v>39</v>
      </c>
    </row>
    <row r="42" spans="1:7" ht="15.75" thickBot="1">
      <c r="A42" s="90" t="s">
        <v>260</v>
      </c>
      <c r="B42" s="90" t="s">
        <v>349</v>
      </c>
      <c r="C42" s="86">
        <v>68</v>
      </c>
      <c r="D42" s="86">
        <v>82</v>
      </c>
      <c r="E42" s="86">
        <v>67</v>
      </c>
      <c r="F42" s="86">
        <v>217</v>
      </c>
      <c r="G42" s="89">
        <v>40</v>
      </c>
    </row>
    <row r="43" spans="1:7" ht="15.75" thickBot="1">
      <c r="A43" s="90" t="s">
        <v>44</v>
      </c>
      <c r="B43" s="90" t="s">
        <v>274</v>
      </c>
      <c r="C43" s="86">
        <v>72</v>
      </c>
      <c r="D43" s="86">
        <v>81</v>
      </c>
      <c r="E43" s="86">
        <v>64</v>
      </c>
      <c r="F43" s="86">
        <v>217</v>
      </c>
      <c r="G43" s="86">
        <v>41</v>
      </c>
    </row>
    <row r="44" spans="1:7" ht="15.75" thickBot="1">
      <c r="A44" s="90" t="s">
        <v>136</v>
      </c>
      <c r="B44" s="90" t="s">
        <v>137</v>
      </c>
      <c r="C44" s="86">
        <v>73</v>
      </c>
      <c r="D44" s="86">
        <v>67</v>
      </c>
      <c r="E44" s="86">
        <v>76</v>
      </c>
      <c r="F44" s="86">
        <v>216</v>
      </c>
      <c r="G44" s="86">
        <v>42</v>
      </c>
    </row>
    <row r="45" spans="1:7" ht="15.75" thickBot="1">
      <c r="A45" s="90" t="s">
        <v>154</v>
      </c>
      <c r="B45" s="90" t="s">
        <v>109</v>
      </c>
      <c r="C45" s="86">
        <v>66</v>
      </c>
      <c r="D45" s="86">
        <v>76</v>
      </c>
      <c r="E45" s="86">
        <v>74</v>
      </c>
      <c r="F45" s="86">
        <v>216</v>
      </c>
      <c r="G45" s="89">
        <v>43</v>
      </c>
    </row>
    <row r="46" spans="1:7" ht="15.75" thickBot="1">
      <c r="A46" s="90" t="s">
        <v>193</v>
      </c>
      <c r="B46" s="90" t="s">
        <v>194</v>
      </c>
      <c r="C46" s="86">
        <v>69</v>
      </c>
      <c r="D46" s="86">
        <v>74</v>
      </c>
      <c r="E46" s="86">
        <v>72</v>
      </c>
      <c r="F46" s="86">
        <v>215</v>
      </c>
      <c r="G46" s="86">
        <v>44</v>
      </c>
    </row>
    <row r="47" spans="1:7" ht="15.75" thickBot="1">
      <c r="A47" s="90" t="s">
        <v>243</v>
      </c>
      <c r="B47" s="90" t="s">
        <v>335</v>
      </c>
      <c r="C47" s="86">
        <v>76</v>
      </c>
      <c r="D47" s="86">
        <v>67</v>
      </c>
      <c r="E47" s="86">
        <v>71</v>
      </c>
      <c r="F47" s="86">
        <v>214</v>
      </c>
      <c r="G47" s="86">
        <v>45</v>
      </c>
    </row>
    <row r="48" spans="1:7" ht="15.75" thickBot="1">
      <c r="A48" s="90" t="s">
        <v>211</v>
      </c>
      <c r="B48" s="90" t="s">
        <v>212</v>
      </c>
      <c r="C48" s="86">
        <v>70</v>
      </c>
      <c r="D48" s="86">
        <v>75</v>
      </c>
      <c r="E48" s="86">
        <v>69</v>
      </c>
      <c r="F48" s="86">
        <v>214</v>
      </c>
      <c r="G48" s="89">
        <v>46</v>
      </c>
    </row>
    <row r="49" spans="1:7" ht="15.75" thickBot="1">
      <c r="A49" s="90" t="s">
        <v>207</v>
      </c>
      <c r="B49" s="90" t="s">
        <v>208</v>
      </c>
      <c r="C49" s="86">
        <v>72</v>
      </c>
      <c r="D49" s="86">
        <v>77</v>
      </c>
      <c r="E49" s="86">
        <v>65</v>
      </c>
      <c r="F49" s="86">
        <v>214</v>
      </c>
      <c r="G49" s="86">
        <v>47</v>
      </c>
    </row>
    <row r="50" spans="1:7" ht="15.75" thickBot="1">
      <c r="A50" s="90" t="s">
        <v>91</v>
      </c>
      <c r="B50" s="90" t="s">
        <v>92</v>
      </c>
      <c r="C50" s="86">
        <v>72</v>
      </c>
      <c r="D50" s="86">
        <v>78</v>
      </c>
      <c r="E50" s="86">
        <v>64</v>
      </c>
      <c r="F50" s="86">
        <v>214</v>
      </c>
      <c r="G50" s="86">
        <v>48</v>
      </c>
    </row>
    <row r="51" spans="1:7" ht="15.75" thickBot="1">
      <c r="A51" s="90" t="s">
        <v>132</v>
      </c>
      <c r="B51" s="90" t="s">
        <v>133</v>
      </c>
      <c r="C51" s="86">
        <v>70</v>
      </c>
      <c r="D51" s="86">
        <v>64</v>
      </c>
      <c r="E51" s="86">
        <v>79</v>
      </c>
      <c r="F51" s="86">
        <v>213</v>
      </c>
      <c r="G51" s="89">
        <v>49</v>
      </c>
    </row>
    <row r="52" spans="1:7" ht="15.75" thickBot="1">
      <c r="A52" s="90" t="s">
        <v>64</v>
      </c>
      <c r="B52" s="90" t="s">
        <v>49</v>
      </c>
      <c r="C52" s="86">
        <v>64</v>
      </c>
      <c r="D52" s="86">
        <v>76</v>
      </c>
      <c r="E52" s="86">
        <v>71</v>
      </c>
      <c r="F52" s="86">
        <v>211</v>
      </c>
      <c r="G52" s="86">
        <v>50</v>
      </c>
    </row>
    <row r="53" spans="1:7" ht="30.75" thickBot="1">
      <c r="A53" s="90" t="s">
        <v>361</v>
      </c>
      <c r="B53" s="90" t="s">
        <v>362</v>
      </c>
      <c r="C53" s="86">
        <v>70</v>
      </c>
      <c r="D53" s="86">
        <v>69</v>
      </c>
      <c r="E53" s="86">
        <v>71</v>
      </c>
      <c r="F53" s="86">
        <v>210</v>
      </c>
      <c r="G53" s="86">
        <v>51</v>
      </c>
    </row>
    <row r="54" spans="1:7" ht="15.75" thickBot="1">
      <c r="A54" s="90" t="s">
        <v>110</v>
      </c>
      <c r="B54" s="90" t="s">
        <v>107</v>
      </c>
      <c r="C54" s="86">
        <v>77</v>
      </c>
      <c r="D54" s="86">
        <v>64</v>
      </c>
      <c r="E54" s="86">
        <v>69</v>
      </c>
      <c r="F54" s="86">
        <v>210</v>
      </c>
      <c r="G54" s="89">
        <v>52</v>
      </c>
    </row>
    <row r="55" spans="1:7" ht="15.75" thickBot="1">
      <c r="A55" s="90" t="s">
        <v>140</v>
      </c>
      <c r="B55" s="90" t="s">
        <v>333</v>
      </c>
      <c r="C55" s="86">
        <v>69</v>
      </c>
      <c r="D55" s="86">
        <v>74</v>
      </c>
      <c r="E55" s="86">
        <v>67</v>
      </c>
      <c r="F55" s="86">
        <v>210</v>
      </c>
      <c r="G55" s="86">
        <v>53</v>
      </c>
    </row>
    <row r="56" spans="1:7" ht="15.75" thickBot="1">
      <c r="A56" s="90" t="s">
        <v>217</v>
      </c>
      <c r="B56" s="90" t="s">
        <v>218</v>
      </c>
      <c r="C56" s="86">
        <v>74</v>
      </c>
      <c r="D56" s="86">
        <v>69</v>
      </c>
      <c r="E56" s="86">
        <v>67</v>
      </c>
      <c r="F56" s="86">
        <v>210</v>
      </c>
      <c r="G56" s="86">
        <v>54</v>
      </c>
    </row>
    <row r="57" spans="1:7" ht="15.75" thickBot="1">
      <c r="A57" s="90" t="s">
        <v>36</v>
      </c>
      <c r="B57" s="90" t="s">
        <v>37</v>
      </c>
      <c r="C57" s="86">
        <v>69</v>
      </c>
      <c r="D57" s="86">
        <v>77</v>
      </c>
      <c r="E57" s="86">
        <v>63</v>
      </c>
      <c r="F57" s="86">
        <v>209</v>
      </c>
      <c r="G57" s="89">
        <v>55</v>
      </c>
    </row>
    <row r="58" spans="1:7" ht="15.75" thickBot="1">
      <c r="A58" s="90" t="s">
        <v>177</v>
      </c>
      <c r="B58" s="90" t="s">
        <v>178</v>
      </c>
      <c r="C58" s="86">
        <v>69</v>
      </c>
      <c r="D58" s="86">
        <v>69</v>
      </c>
      <c r="E58" s="86">
        <v>70</v>
      </c>
      <c r="F58" s="86">
        <v>208</v>
      </c>
      <c r="G58" s="86">
        <v>56</v>
      </c>
    </row>
    <row r="59" spans="1:7" ht="15.75" thickBot="1">
      <c r="A59" s="90" t="s">
        <v>165</v>
      </c>
      <c r="B59" s="90" t="s">
        <v>192</v>
      </c>
      <c r="C59" s="86">
        <v>73</v>
      </c>
      <c r="D59" s="86">
        <v>60</v>
      </c>
      <c r="E59" s="86">
        <v>74</v>
      </c>
      <c r="F59" s="86">
        <v>207</v>
      </c>
      <c r="G59" s="86">
        <v>57</v>
      </c>
    </row>
    <row r="60" spans="1:7" ht="15.75" thickBot="1">
      <c r="A60" s="90" t="s">
        <v>38</v>
      </c>
      <c r="B60" s="90" t="s">
        <v>370</v>
      </c>
      <c r="C60" s="86">
        <v>64</v>
      </c>
      <c r="D60" s="86">
        <v>70</v>
      </c>
      <c r="E60" s="86">
        <v>73</v>
      </c>
      <c r="F60" s="86">
        <v>207</v>
      </c>
      <c r="G60" s="89">
        <v>58</v>
      </c>
    </row>
    <row r="61" spans="1:7" ht="15.75" thickBot="1">
      <c r="A61" s="90" t="s">
        <v>225</v>
      </c>
      <c r="B61" s="90" t="s">
        <v>352</v>
      </c>
      <c r="C61" s="86">
        <v>73</v>
      </c>
      <c r="D61" s="86">
        <v>64</v>
      </c>
      <c r="E61" s="86">
        <v>70</v>
      </c>
      <c r="F61" s="86">
        <v>207</v>
      </c>
      <c r="G61" s="86">
        <v>59</v>
      </c>
    </row>
    <row r="62" spans="1:7" ht="15.75" thickBot="1">
      <c r="A62" s="90" t="s">
        <v>276</v>
      </c>
      <c r="B62" s="90" t="s">
        <v>277</v>
      </c>
      <c r="C62" s="86">
        <v>66</v>
      </c>
      <c r="D62" s="86">
        <v>71</v>
      </c>
      <c r="E62" s="86">
        <v>68</v>
      </c>
      <c r="F62" s="86">
        <v>205</v>
      </c>
      <c r="G62" s="86">
        <v>60</v>
      </c>
    </row>
    <row r="63" spans="1:7" ht="15.75" thickBot="1">
      <c r="A63" s="90" t="s">
        <v>306</v>
      </c>
      <c r="B63" s="90" t="s">
        <v>307</v>
      </c>
      <c r="C63" s="86">
        <v>60</v>
      </c>
      <c r="D63" s="86">
        <v>82</v>
      </c>
      <c r="E63" s="86">
        <v>62</v>
      </c>
      <c r="F63" s="86">
        <v>204</v>
      </c>
      <c r="G63" s="89">
        <v>61</v>
      </c>
    </row>
    <row r="64" spans="1:7" ht="15.75" thickBot="1">
      <c r="A64" s="90" t="s">
        <v>48</v>
      </c>
      <c r="B64" s="90" t="s">
        <v>49</v>
      </c>
      <c r="C64" s="86">
        <v>72</v>
      </c>
      <c r="D64" s="86">
        <v>70</v>
      </c>
      <c r="E64" s="86">
        <v>61</v>
      </c>
      <c r="F64" s="86">
        <v>203</v>
      </c>
      <c r="G64" s="86">
        <v>62</v>
      </c>
    </row>
    <row r="65" spans="1:7" ht="15.75" thickBot="1">
      <c r="A65" s="90" t="s">
        <v>42</v>
      </c>
      <c r="B65" s="90" t="s">
        <v>339</v>
      </c>
      <c r="C65" s="86">
        <v>69</v>
      </c>
      <c r="D65" s="86">
        <v>58</v>
      </c>
      <c r="E65" s="86">
        <v>75</v>
      </c>
      <c r="F65" s="86">
        <v>202</v>
      </c>
      <c r="G65" s="86">
        <v>63</v>
      </c>
    </row>
    <row r="66" spans="1:7" ht="15.75" thickBot="1">
      <c r="A66" s="90" t="s">
        <v>112</v>
      </c>
      <c r="B66" s="90" t="s">
        <v>313</v>
      </c>
      <c r="C66" s="86">
        <v>66</v>
      </c>
      <c r="D66" s="86">
        <v>58</v>
      </c>
      <c r="E66" s="86">
        <v>77</v>
      </c>
      <c r="F66" s="86">
        <v>201</v>
      </c>
      <c r="G66" s="89">
        <v>64</v>
      </c>
    </row>
    <row r="67" spans="1:7" ht="15.75" thickBot="1">
      <c r="A67" s="90" t="s">
        <v>142</v>
      </c>
      <c r="B67" s="90" t="s">
        <v>310</v>
      </c>
      <c r="C67" s="86">
        <v>62</v>
      </c>
      <c r="D67" s="86">
        <v>67</v>
      </c>
      <c r="E67" s="86">
        <v>72</v>
      </c>
      <c r="F67" s="86">
        <v>201</v>
      </c>
      <c r="G67" s="86">
        <v>65</v>
      </c>
    </row>
    <row r="68" spans="1:7" ht="15.75" thickBot="1">
      <c r="A68" s="90" t="s">
        <v>68</v>
      </c>
      <c r="B68" s="90" t="s">
        <v>249</v>
      </c>
      <c r="C68" s="86">
        <v>62</v>
      </c>
      <c r="D68" s="86">
        <v>73</v>
      </c>
      <c r="E68" s="86">
        <v>66</v>
      </c>
      <c r="F68" s="86">
        <v>201</v>
      </c>
      <c r="G68" s="86">
        <v>66</v>
      </c>
    </row>
    <row r="69" spans="1:7" ht="15.75" thickBot="1">
      <c r="A69" s="90" t="s">
        <v>56</v>
      </c>
      <c r="B69" s="90" t="s">
        <v>57</v>
      </c>
      <c r="C69" s="86">
        <v>69</v>
      </c>
      <c r="D69" s="86">
        <v>63</v>
      </c>
      <c r="E69" s="86">
        <v>68</v>
      </c>
      <c r="F69" s="86">
        <v>200</v>
      </c>
      <c r="G69" s="89">
        <v>67</v>
      </c>
    </row>
    <row r="70" spans="1:7" ht="15.75" thickBot="1">
      <c r="A70" s="90" t="s">
        <v>294</v>
      </c>
      <c r="B70" s="90" t="s">
        <v>141</v>
      </c>
      <c r="C70" s="86">
        <v>71</v>
      </c>
      <c r="D70" s="86">
        <v>80</v>
      </c>
      <c r="E70" s="86">
        <v>49</v>
      </c>
      <c r="F70" s="86">
        <v>200</v>
      </c>
      <c r="G70" s="86">
        <v>68</v>
      </c>
    </row>
    <row r="71" spans="1:7" ht="15.75" thickBot="1">
      <c r="A71" s="90" t="s">
        <v>162</v>
      </c>
      <c r="B71" s="90" t="s">
        <v>357</v>
      </c>
      <c r="C71" s="86">
        <v>70</v>
      </c>
      <c r="D71" s="86">
        <v>57</v>
      </c>
      <c r="E71" s="86">
        <v>72</v>
      </c>
      <c r="F71" s="86">
        <v>199</v>
      </c>
      <c r="G71" s="86">
        <v>69</v>
      </c>
    </row>
    <row r="72" spans="1:7" ht="15.75" thickBot="1">
      <c r="A72" s="90" t="s">
        <v>76</v>
      </c>
      <c r="B72" s="90" t="s">
        <v>77</v>
      </c>
      <c r="C72" s="86">
        <v>77</v>
      </c>
      <c r="D72" s="86">
        <v>47</v>
      </c>
      <c r="E72" s="86">
        <v>74</v>
      </c>
      <c r="F72" s="86">
        <v>198</v>
      </c>
      <c r="G72" s="89">
        <v>70</v>
      </c>
    </row>
    <row r="73" spans="1:7" ht="15.75" thickBot="1">
      <c r="A73" s="90" t="s">
        <v>322</v>
      </c>
      <c r="B73" s="90" t="s">
        <v>323</v>
      </c>
      <c r="C73" s="86">
        <v>65</v>
      </c>
      <c r="D73" s="86">
        <v>68</v>
      </c>
      <c r="E73" s="86">
        <v>65</v>
      </c>
      <c r="F73" s="86">
        <v>198</v>
      </c>
      <c r="G73" s="86">
        <v>71</v>
      </c>
    </row>
    <row r="74" spans="1:7" ht="15.75" thickBot="1">
      <c r="A74" s="90" t="s">
        <v>286</v>
      </c>
      <c r="B74" s="90" t="s">
        <v>287</v>
      </c>
      <c r="C74" s="86">
        <v>65</v>
      </c>
      <c r="D74" s="86">
        <v>70</v>
      </c>
      <c r="E74" s="86">
        <v>63</v>
      </c>
      <c r="F74" s="86">
        <v>198</v>
      </c>
      <c r="G74" s="86">
        <v>72</v>
      </c>
    </row>
    <row r="75" spans="1:7" ht="15.75" thickBot="1">
      <c r="A75" s="90" t="s">
        <v>62</v>
      </c>
      <c r="B75" s="90" t="s">
        <v>63</v>
      </c>
      <c r="C75" s="86">
        <v>65</v>
      </c>
      <c r="D75" s="86">
        <v>65</v>
      </c>
      <c r="E75" s="86">
        <v>66</v>
      </c>
      <c r="F75" s="86">
        <v>196</v>
      </c>
      <c r="G75" s="89">
        <v>73</v>
      </c>
    </row>
    <row r="76" spans="1:7" ht="15.75" thickBot="1">
      <c r="A76" s="90" t="s">
        <v>68</v>
      </c>
      <c r="B76" s="90" t="s">
        <v>69</v>
      </c>
      <c r="C76" s="86">
        <v>73</v>
      </c>
      <c r="D76" s="86">
        <v>59</v>
      </c>
      <c r="E76" s="86">
        <v>62</v>
      </c>
      <c r="F76" s="86">
        <v>194</v>
      </c>
      <c r="G76" s="86">
        <v>74</v>
      </c>
    </row>
    <row r="77" spans="1:7" ht="15.75" thickBot="1">
      <c r="A77" s="90" t="s">
        <v>322</v>
      </c>
      <c r="B77" s="90" t="s">
        <v>359</v>
      </c>
      <c r="C77" s="86">
        <v>63</v>
      </c>
      <c r="D77" s="86">
        <v>77</v>
      </c>
      <c r="E77" s="86">
        <v>53</v>
      </c>
      <c r="F77" s="86">
        <v>193</v>
      </c>
      <c r="G77" s="86">
        <v>75</v>
      </c>
    </row>
    <row r="78" spans="1:7" ht="15.75" thickBot="1">
      <c r="A78" s="90" t="s">
        <v>302</v>
      </c>
      <c r="B78" s="90" t="s">
        <v>303</v>
      </c>
      <c r="C78" s="86">
        <v>60</v>
      </c>
      <c r="D78" s="86">
        <v>57</v>
      </c>
      <c r="E78" s="86">
        <v>75</v>
      </c>
      <c r="F78" s="86">
        <v>192</v>
      </c>
      <c r="G78" s="89">
        <v>76</v>
      </c>
    </row>
    <row r="79" spans="1:7" ht="15.75" thickBot="1">
      <c r="A79" s="90" t="s">
        <v>342</v>
      </c>
      <c r="B79" s="90" t="s">
        <v>343</v>
      </c>
      <c r="C79" s="86">
        <v>56</v>
      </c>
      <c r="D79" s="86">
        <v>77</v>
      </c>
      <c r="E79" s="86">
        <v>58</v>
      </c>
      <c r="F79" s="86">
        <v>191</v>
      </c>
      <c r="G79" s="86">
        <v>77</v>
      </c>
    </row>
    <row r="80" spans="1:7" ht="15.75" thickBot="1">
      <c r="A80" s="90" t="s">
        <v>60</v>
      </c>
      <c r="B80" s="90" t="s">
        <v>281</v>
      </c>
      <c r="C80" s="86">
        <v>67</v>
      </c>
      <c r="D80" s="86">
        <v>52</v>
      </c>
      <c r="E80" s="86">
        <v>69</v>
      </c>
      <c r="F80" s="86">
        <v>188</v>
      </c>
      <c r="G80" s="86">
        <v>78</v>
      </c>
    </row>
    <row r="81" spans="1:7" ht="15.75" thickBot="1">
      <c r="A81" s="90" t="s">
        <v>84</v>
      </c>
      <c r="B81" s="90" t="s">
        <v>222</v>
      </c>
      <c r="C81" s="86">
        <v>49</v>
      </c>
      <c r="D81" s="86">
        <v>73</v>
      </c>
      <c r="E81" s="86">
        <v>66</v>
      </c>
      <c r="F81" s="86">
        <v>188</v>
      </c>
      <c r="G81" s="89">
        <v>79</v>
      </c>
    </row>
    <row r="82" spans="1:7" ht="15.75" thickBot="1">
      <c r="A82" s="90" t="s">
        <v>34</v>
      </c>
      <c r="B82" s="90" t="s">
        <v>157</v>
      </c>
      <c r="C82" s="86">
        <v>72</v>
      </c>
      <c r="D82" s="86">
        <v>47</v>
      </c>
      <c r="E82" s="86">
        <v>67</v>
      </c>
      <c r="F82" s="86">
        <v>186</v>
      </c>
      <c r="G82" s="86">
        <v>80</v>
      </c>
    </row>
    <row r="83" spans="1:7" ht="15.75" thickBot="1">
      <c r="A83" s="90" t="s">
        <v>44</v>
      </c>
      <c r="B83" s="90" t="s">
        <v>45</v>
      </c>
      <c r="C83" s="86">
        <v>60</v>
      </c>
      <c r="D83" s="86">
        <v>64</v>
      </c>
      <c r="E83" s="86">
        <v>62</v>
      </c>
      <c r="F83" s="86">
        <v>186</v>
      </c>
      <c r="G83" s="86">
        <v>81</v>
      </c>
    </row>
    <row r="84" spans="1:7" ht="15.75" thickBot="1">
      <c r="A84" s="90" t="s">
        <v>235</v>
      </c>
      <c r="B84" s="90" t="s">
        <v>236</v>
      </c>
      <c r="C84" s="86">
        <v>57</v>
      </c>
      <c r="D84" s="86">
        <v>64</v>
      </c>
      <c r="E84" s="86">
        <v>64</v>
      </c>
      <c r="F84" s="86">
        <v>185</v>
      </c>
      <c r="G84" s="89">
        <v>82</v>
      </c>
    </row>
    <row r="85" spans="1:7" ht="15.75" thickBot="1">
      <c r="A85" s="90" t="s">
        <v>84</v>
      </c>
      <c r="B85" s="90" t="s">
        <v>85</v>
      </c>
      <c r="C85" s="86">
        <v>53</v>
      </c>
      <c r="D85" s="86">
        <v>66</v>
      </c>
      <c r="E85" s="86">
        <v>65</v>
      </c>
      <c r="F85" s="86">
        <v>184</v>
      </c>
      <c r="G85" s="86">
        <v>83</v>
      </c>
    </row>
    <row r="86" spans="1:7" ht="15.75" thickBot="1">
      <c r="A86" s="90" t="s">
        <v>340</v>
      </c>
      <c r="B86" s="90" t="s">
        <v>341</v>
      </c>
      <c r="C86" s="86">
        <v>58</v>
      </c>
      <c r="D86" s="86">
        <v>66</v>
      </c>
      <c r="E86" s="86">
        <v>59</v>
      </c>
      <c r="F86" s="86">
        <v>183</v>
      </c>
      <c r="G86" s="86">
        <v>84</v>
      </c>
    </row>
    <row r="87" spans="1:7" ht="15.75" thickBot="1">
      <c r="A87" s="90" t="s">
        <v>175</v>
      </c>
      <c r="B87" s="90" t="s">
        <v>176</v>
      </c>
      <c r="C87" s="86">
        <v>54</v>
      </c>
      <c r="D87" s="86">
        <v>78</v>
      </c>
      <c r="E87" s="86">
        <v>51</v>
      </c>
      <c r="F87" s="86">
        <v>183</v>
      </c>
      <c r="G87" s="89">
        <v>85</v>
      </c>
    </row>
    <row r="88" spans="1:7" ht="15.75" thickBot="1">
      <c r="A88" s="90" t="s">
        <v>364</v>
      </c>
      <c r="B88" s="90" t="s">
        <v>365</v>
      </c>
      <c r="C88" s="86">
        <v>60</v>
      </c>
      <c r="D88" s="86">
        <v>65</v>
      </c>
      <c r="E88" s="86">
        <v>57</v>
      </c>
      <c r="F88" s="86">
        <v>182</v>
      </c>
      <c r="G88" s="86">
        <v>86</v>
      </c>
    </row>
    <row r="89" spans="1:7" ht="15.75" thickBot="1">
      <c r="A89" s="90" t="s">
        <v>311</v>
      </c>
      <c r="B89" s="90" t="s">
        <v>312</v>
      </c>
      <c r="C89" s="86">
        <v>63</v>
      </c>
      <c r="D89" s="86">
        <v>62</v>
      </c>
      <c r="E89" s="86">
        <v>57</v>
      </c>
      <c r="F89" s="86">
        <v>182</v>
      </c>
      <c r="G89" s="86">
        <v>87</v>
      </c>
    </row>
    <row r="90" spans="1:7" ht="15.75" thickBot="1">
      <c r="A90" s="90" t="s">
        <v>284</v>
      </c>
      <c r="B90" s="90" t="s">
        <v>285</v>
      </c>
      <c r="C90" s="86">
        <v>50</v>
      </c>
      <c r="D90" s="86">
        <v>54</v>
      </c>
      <c r="E90" s="86">
        <v>76</v>
      </c>
      <c r="F90" s="86">
        <v>180</v>
      </c>
      <c r="G90" s="89">
        <v>88</v>
      </c>
    </row>
    <row r="91" spans="1:7" ht="15.75" thickBot="1">
      <c r="A91" s="90" t="s">
        <v>297</v>
      </c>
      <c r="B91" s="90" t="s">
        <v>321</v>
      </c>
      <c r="C91" s="86">
        <v>56</v>
      </c>
      <c r="D91" s="86">
        <v>60</v>
      </c>
      <c r="E91" s="86">
        <v>64</v>
      </c>
      <c r="F91" s="86">
        <v>180</v>
      </c>
      <c r="G91" s="86">
        <v>89</v>
      </c>
    </row>
    <row r="92" spans="1:7" ht="15.75" thickBot="1">
      <c r="A92" s="90" t="s">
        <v>160</v>
      </c>
      <c r="B92" s="90" t="s">
        <v>161</v>
      </c>
      <c r="C92" s="86">
        <v>64</v>
      </c>
      <c r="D92" s="86">
        <v>67</v>
      </c>
      <c r="E92" s="86">
        <v>49</v>
      </c>
      <c r="F92" s="86">
        <v>180</v>
      </c>
      <c r="G92" s="86">
        <v>90</v>
      </c>
    </row>
    <row r="93" spans="1:7" ht="15.75" thickBot="1">
      <c r="A93" s="90" t="s">
        <v>308</v>
      </c>
      <c r="B93" s="90" t="s">
        <v>309</v>
      </c>
      <c r="C93" s="86">
        <v>62</v>
      </c>
      <c r="D93" s="86">
        <v>55</v>
      </c>
      <c r="E93" s="86">
        <v>60</v>
      </c>
      <c r="F93" s="86">
        <v>177</v>
      </c>
      <c r="G93" s="89">
        <v>91</v>
      </c>
    </row>
    <row r="94" spans="1:7" ht="15.75" thickBot="1">
      <c r="A94" s="90" t="s">
        <v>243</v>
      </c>
      <c r="B94" s="90" t="s">
        <v>244</v>
      </c>
      <c r="C94" s="86">
        <v>57</v>
      </c>
      <c r="D94" s="86">
        <v>66</v>
      </c>
      <c r="E94" s="86">
        <v>53</v>
      </c>
      <c r="F94" s="86">
        <v>176</v>
      </c>
      <c r="G94" s="86">
        <v>92</v>
      </c>
    </row>
    <row r="95" spans="1:7" ht="15.75" thickBot="1">
      <c r="A95" s="90" t="s">
        <v>140</v>
      </c>
      <c r="B95" s="90" t="s">
        <v>141</v>
      </c>
      <c r="C95" s="86">
        <v>57</v>
      </c>
      <c r="D95" s="86">
        <v>55</v>
      </c>
      <c r="E95" s="86">
        <v>60</v>
      </c>
      <c r="F95" s="86">
        <v>172</v>
      </c>
      <c r="G95" s="86">
        <v>93</v>
      </c>
    </row>
    <row r="96" spans="1:7" ht="15.75" thickBot="1">
      <c r="A96" s="90" t="s">
        <v>99</v>
      </c>
      <c r="B96" s="90" t="s">
        <v>221</v>
      </c>
      <c r="C96" s="86">
        <v>62</v>
      </c>
      <c r="D96" s="86">
        <v>52</v>
      </c>
      <c r="E96" s="86">
        <v>58</v>
      </c>
      <c r="F96" s="86">
        <v>172</v>
      </c>
      <c r="G96" s="89">
        <v>94</v>
      </c>
    </row>
    <row r="97" spans="1:7" ht="15.75" thickBot="1">
      <c r="A97" s="90" t="s">
        <v>350</v>
      </c>
      <c r="B97" s="90" t="s">
        <v>351</v>
      </c>
      <c r="C97" s="86">
        <v>58</v>
      </c>
      <c r="D97" s="86">
        <v>51</v>
      </c>
      <c r="E97" s="86">
        <v>59</v>
      </c>
      <c r="F97" s="86">
        <v>168</v>
      </c>
      <c r="G97" s="86">
        <v>95</v>
      </c>
    </row>
    <row r="98" spans="1:7" ht="15.75" thickBot="1">
      <c r="A98" s="90" t="s">
        <v>316</v>
      </c>
      <c r="B98" s="90" t="s">
        <v>334</v>
      </c>
      <c r="C98" s="86">
        <v>63</v>
      </c>
      <c r="D98" s="86">
        <v>54</v>
      </c>
      <c r="E98" s="86">
        <v>51</v>
      </c>
      <c r="F98" s="86">
        <v>168</v>
      </c>
      <c r="G98" s="86">
        <v>96</v>
      </c>
    </row>
    <row r="99" spans="1:7" ht="15.75" thickBot="1">
      <c r="A99" s="90" t="s">
        <v>34</v>
      </c>
      <c r="B99" s="90" t="s">
        <v>268</v>
      </c>
      <c r="C99" s="86">
        <v>50</v>
      </c>
      <c r="D99" s="86">
        <v>45</v>
      </c>
      <c r="E99" s="86">
        <v>72</v>
      </c>
      <c r="F99" s="86">
        <v>167</v>
      </c>
      <c r="G99" s="89">
        <v>97</v>
      </c>
    </row>
    <row r="100" spans="1:7" ht="15.75" thickBot="1">
      <c r="A100" s="90" t="s">
        <v>95</v>
      </c>
      <c r="B100" s="90" t="s">
        <v>363</v>
      </c>
      <c r="C100" s="86">
        <v>70</v>
      </c>
      <c r="D100" s="86">
        <v>49</v>
      </c>
      <c r="E100" s="86">
        <v>47</v>
      </c>
      <c r="F100" s="86">
        <v>166</v>
      </c>
      <c r="G100" s="86">
        <v>98</v>
      </c>
    </row>
    <row r="101" spans="1:7" ht="15.75" thickBot="1">
      <c r="A101" s="90" t="s">
        <v>371</v>
      </c>
      <c r="B101" s="90" t="s">
        <v>372</v>
      </c>
      <c r="C101" s="86">
        <v>54</v>
      </c>
      <c r="D101" s="86">
        <v>59</v>
      </c>
      <c r="E101" s="86">
        <v>52</v>
      </c>
      <c r="F101" s="86">
        <v>165</v>
      </c>
      <c r="G101" s="86">
        <v>99</v>
      </c>
    </row>
    <row r="102" spans="1:7" ht="15.75" thickBot="1">
      <c r="A102" s="90" t="s">
        <v>52</v>
      </c>
      <c r="B102" s="90" t="s">
        <v>280</v>
      </c>
      <c r="C102" s="86">
        <v>67</v>
      </c>
      <c r="D102" s="86">
        <v>49</v>
      </c>
      <c r="E102" s="86">
        <v>49</v>
      </c>
      <c r="F102" s="86">
        <v>165</v>
      </c>
      <c r="G102" s="89">
        <v>100</v>
      </c>
    </row>
    <row r="103" spans="1:7" ht="15.75" thickBot="1">
      <c r="A103" s="90" t="s">
        <v>209</v>
      </c>
      <c r="B103" s="90" t="s">
        <v>210</v>
      </c>
      <c r="C103" s="86">
        <v>49</v>
      </c>
      <c r="D103" s="86">
        <v>55</v>
      </c>
      <c r="E103" s="86">
        <v>59</v>
      </c>
      <c r="F103" s="86">
        <v>163</v>
      </c>
      <c r="G103" s="86">
        <v>101</v>
      </c>
    </row>
    <row r="104" spans="1:7" ht="15.75" thickBot="1">
      <c r="A104" s="90" t="s">
        <v>189</v>
      </c>
      <c r="B104" s="90" t="s">
        <v>190</v>
      </c>
      <c r="C104" s="86">
        <v>72</v>
      </c>
      <c r="D104" s="86">
        <v>43</v>
      </c>
      <c r="E104" s="86">
        <v>43</v>
      </c>
      <c r="F104" s="86">
        <v>158</v>
      </c>
      <c r="G104" s="86">
        <v>102</v>
      </c>
    </row>
    <row r="105" spans="1:7" ht="15.75" thickBot="1">
      <c r="A105" s="90" t="s">
        <v>95</v>
      </c>
      <c r="B105" s="90" t="s">
        <v>354</v>
      </c>
      <c r="C105" s="86">
        <v>43</v>
      </c>
      <c r="D105" s="86">
        <v>47</v>
      </c>
      <c r="E105" s="86">
        <v>65</v>
      </c>
      <c r="F105" s="86">
        <v>155</v>
      </c>
      <c r="G105" s="89">
        <v>103</v>
      </c>
    </row>
    <row r="106" spans="1:7" ht="15.75" thickBot="1">
      <c r="A106" s="90" t="s">
        <v>64</v>
      </c>
      <c r="B106" s="90" t="s">
        <v>334</v>
      </c>
      <c r="C106" s="86">
        <v>41</v>
      </c>
      <c r="D106" s="86">
        <v>57</v>
      </c>
      <c r="E106" s="86">
        <v>57</v>
      </c>
      <c r="F106" s="86">
        <v>155</v>
      </c>
      <c r="G106" s="86">
        <v>104</v>
      </c>
    </row>
    <row r="107" spans="1:7" ht="15.75" thickBot="1">
      <c r="A107" s="90" t="s">
        <v>187</v>
      </c>
      <c r="B107" s="90" t="s">
        <v>188</v>
      </c>
      <c r="C107" s="86">
        <v>51</v>
      </c>
      <c r="D107" s="86">
        <v>41</v>
      </c>
      <c r="E107" s="86">
        <v>52</v>
      </c>
      <c r="F107" s="86">
        <v>144</v>
      </c>
      <c r="G107" s="86">
        <v>105</v>
      </c>
    </row>
    <row r="108" spans="1:7" ht="15.75" thickBot="1">
      <c r="A108" s="90" t="s">
        <v>199</v>
      </c>
      <c r="B108" s="90" t="s">
        <v>200</v>
      </c>
      <c r="C108" s="86">
        <v>51</v>
      </c>
      <c r="D108" s="86">
        <v>52</v>
      </c>
      <c r="E108" s="86">
        <v>40</v>
      </c>
      <c r="F108" s="86">
        <v>143</v>
      </c>
      <c r="G108" s="89">
        <v>106</v>
      </c>
    </row>
    <row r="109" spans="1:7" ht="15.75" thickBot="1">
      <c r="A109" s="90" t="s">
        <v>215</v>
      </c>
      <c r="B109" s="90" t="s">
        <v>216</v>
      </c>
      <c r="C109" s="86">
        <v>58</v>
      </c>
      <c r="D109" s="86">
        <v>40</v>
      </c>
      <c r="E109" s="86">
        <v>44</v>
      </c>
      <c r="F109" s="86">
        <v>142</v>
      </c>
      <c r="G109" s="86">
        <v>107</v>
      </c>
    </row>
    <row r="110" spans="1:7" ht="15.75" thickBot="1">
      <c r="A110" s="90" t="s">
        <v>366</v>
      </c>
      <c r="B110" s="90" t="s">
        <v>367</v>
      </c>
      <c r="C110" s="86">
        <v>62</v>
      </c>
      <c r="D110" s="86">
        <v>50</v>
      </c>
      <c r="E110" s="86">
        <v>30</v>
      </c>
      <c r="F110" s="86">
        <v>142</v>
      </c>
      <c r="G110" s="86">
        <v>108</v>
      </c>
    </row>
    <row r="111" spans="1:7" ht="15.75" thickBot="1">
      <c r="A111" s="90" t="s">
        <v>368</v>
      </c>
      <c r="B111" s="90" t="s">
        <v>369</v>
      </c>
      <c r="C111" s="86">
        <v>58</v>
      </c>
      <c r="D111" s="86">
        <v>32</v>
      </c>
      <c r="E111" s="86">
        <v>46</v>
      </c>
      <c r="F111" s="86">
        <v>136</v>
      </c>
      <c r="G111" s="89">
        <v>109</v>
      </c>
    </row>
    <row r="112" spans="1:7" ht="15.75" thickBot="1">
      <c r="A112" s="90" t="s">
        <v>93</v>
      </c>
      <c r="B112" s="90" t="s">
        <v>94</v>
      </c>
      <c r="C112" s="86">
        <v>58</v>
      </c>
      <c r="D112" s="86">
        <v>39</v>
      </c>
      <c r="E112" s="86">
        <v>33</v>
      </c>
      <c r="F112" s="86">
        <v>130</v>
      </c>
      <c r="G112" s="86">
        <v>110</v>
      </c>
    </row>
    <row r="113" spans="1:7" ht="15.75" thickBot="1">
      <c r="A113" s="90" t="s">
        <v>345</v>
      </c>
      <c r="B113" s="90" t="s">
        <v>346</v>
      </c>
      <c r="C113" s="86">
        <v>42</v>
      </c>
      <c r="D113" s="86">
        <v>46</v>
      </c>
      <c r="E113" s="86">
        <v>40</v>
      </c>
      <c r="F113" s="86">
        <v>128</v>
      </c>
      <c r="G113" s="86">
        <v>111</v>
      </c>
    </row>
    <row r="114" spans="1:7" ht="15.75" thickBot="1">
      <c r="A114" s="90" t="s">
        <v>355</v>
      </c>
      <c r="B114" s="90" t="s">
        <v>356</v>
      </c>
      <c r="C114" s="86">
        <v>37</v>
      </c>
      <c r="D114" s="86">
        <v>42</v>
      </c>
      <c r="E114" s="86">
        <v>48</v>
      </c>
      <c r="F114" s="86">
        <v>127</v>
      </c>
      <c r="G114" s="89">
        <v>112</v>
      </c>
    </row>
    <row r="115" spans="1:7" ht="15.75" thickBot="1">
      <c r="A115" s="90" t="s">
        <v>336</v>
      </c>
      <c r="B115" s="90" t="s">
        <v>337</v>
      </c>
      <c r="C115" s="86">
        <v>43</v>
      </c>
      <c r="D115" s="86">
        <v>32</v>
      </c>
      <c r="E115" s="86">
        <v>46</v>
      </c>
      <c r="F115" s="86">
        <v>121</v>
      </c>
      <c r="G115" s="86">
        <v>113</v>
      </c>
    </row>
    <row r="116" spans="1:7" ht="15.75" thickBot="1">
      <c r="A116" s="90" t="s">
        <v>258</v>
      </c>
      <c r="B116" s="90" t="s">
        <v>259</v>
      </c>
      <c r="C116" s="86">
        <v>30</v>
      </c>
      <c r="D116" s="86">
        <v>45</v>
      </c>
      <c r="E116" s="86">
        <v>33</v>
      </c>
      <c r="F116" s="86">
        <v>108</v>
      </c>
      <c r="G116" s="86">
        <v>114</v>
      </c>
    </row>
    <row r="117" spans="1:7" ht="15.75" thickBot="1">
      <c r="A117" s="90" t="s">
        <v>278</v>
      </c>
      <c r="B117" s="90" t="s">
        <v>279</v>
      </c>
      <c r="C117" s="86">
        <v>32</v>
      </c>
      <c r="D117" s="86">
        <v>52</v>
      </c>
      <c r="E117" s="86">
        <v>23</v>
      </c>
      <c r="F117" s="86">
        <v>107</v>
      </c>
      <c r="G117" s="89">
        <v>115</v>
      </c>
    </row>
    <row r="118" spans="1:7" ht="15.75" thickBot="1">
      <c r="A118" s="90" t="s">
        <v>213</v>
      </c>
      <c r="B118" s="90" t="s">
        <v>214</v>
      </c>
      <c r="C118" s="86">
        <v>39</v>
      </c>
      <c r="D118" s="86">
        <v>37</v>
      </c>
      <c r="E118" s="86">
        <v>30</v>
      </c>
      <c r="F118" s="86">
        <v>106</v>
      </c>
      <c r="G118" s="86">
        <v>116</v>
      </c>
    </row>
    <row r="119" spans="1:7" ht="15.75" thickBot="1">
      <c r="A119" s="90" t="s">
        <v>209</v>
      </c>
      <c r="B119" s="90" t="s">
        <v>320</v>
      </c>
      <c r="C119" s="86">
        <v>24</v>
      </c>
      <c r="D119" s="86">
        <v>48</v>
      </c>
      <c r="E119" s="86">
        <v>2</v>
      </c>
      <c r="F119" s="86">
        <v>74</v>
      </c>
      <c r="G119" s="86">
        <v>117</v>
      </c>
    </row>
    <row r="120" spans="1:7" ht="15.75" thickBot="1">
      <c r="A120" s="90" t="s">
        <v>326</v>
      </c>
      <c r="B120" s="90" t="s">
        <v>327</v>
      </c>
      <c r="C120" s="86">
        <v>20</v>
      </c>
      <c r="D120" s="86">
        <v>36</v>
      </c>
      <c r="E120" s="86">
        <v>2</v>
      </c>
      <c r="F120" s="86">
        <v>58</v>
      </c>
      <c r="G120" s="89">
        <v>118</v>
      </c>
    </row>
    <row r="121" spans="1:7" ht="16.5" thickBot="1">
      <c r="A121" s="79"/>
      <c r="B121" s="79"/>
      <c r="C121" s="92" t="s">
        <v>383</v>
      </c>
      <c r="D121" s="93"/>
      <c r="E121" s="94"/>
      <c r="F121" s="95">
        <f>SUM(F3:F120)/118</f>
        <v>197.5084745762712</v>
      </c>
      <c r="G121" s="98" t="s">
        <v>389</v>
      </c>
    </row>
  </sheetData>
  <sortState ref="A3:G120">
    <sortCondition descending="1" ref="F3:F120"/>
    <sortCondition descending="1" ref="E3:E120"/>
    <sortCondition descending="1" ref="D3:D120"/>
    <sortCondition descending="1" ref="C3:C120"/>
  </sortState>
  <mergeCells count="1">
    <mergeCell ref="C121:E1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Overall</vt:lpstr>
      <vt:lpstr>Võistkondlik</vt:lpstr>
      <vt:lpstr>9mm püstol üld</vt:lpstr>
      <vt:lpstr>9mm püstol M</vt:lpstr>
      <vt:lpstr>9mm püstol N</vt:lpstr>
      <vt:lpstr>100m üld</vt:lpstr>
      <vt:lpstr>100m M</vt:lpstr>
      <vt:lpstr>100m N</vt:lpstr>
      <vt:lpstr>300m üld</vt:lpstr>
      <vt:lpstr>300m M</vt:lpstr>
      <vt:lpstr>300m 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Muru</dc:creator>
  <cp:lastModifiedBy>Karin Muru</cp:lastModifiedBy>
  <cp:lastPrinted>2022-06-12T05:05:21Z</cp:lastPrinted>
  <dcterms:modified xsi:type="dcterms:W3CDTF">2022-06-12T05:43:21Z</dcterms:modified>
</cp:coreProperties>
</file>